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276" windowWidth="14940" windowHeight="9156"/>
  </bookViews>
  <sheets>
    <sheet name="Type, Competition, Time" sheetId="2" r:id="rId1"/>
    <sheet name="Small Business" sheetId="1" r:id="rId2"/>
  </sheets>
  <definedNames>
    <definedName name="_xlnm._FilterDatabase" localSheetId="1" hidden="1">'Small Business'!$C$8:$C$16</definedName>
    <definedName name="_xlnm._FilterDatabase" localSheetId="0" hidden="1">'Type, Competition, Time'!$C$8:$C$16</definedName>
  </definedNames>
  <calcPr calcId="145621"/>
</workbook>
</file>

<file path=xl/calcChain.xml><?xml version="1.0" encoding="utf-8"?>
<calcChain xmlns="http://schemas.openxmlformats.org/spreadsheetml/2006/main">
  <c r="G13" i="2" l="1"/>
  <c r="G12" i="2"/>
  <c r="G10" i="2"/>
  <c r="G9" i="2"/>
  <c r="G8" i="2"/>
  <c r="F10" i="2"/>
  <c r="E16" i="2"/>
  <c r="E11" i="2"/>
  <c r="E12" i="2"/>
  <c r="E10" i="2"/>
  <c r="E9" i="2"/>
  <c r="E8" i="2"/>
  <c r="E14" i="2"/>
  <c r="E13" i="2"/>
  <c r="G15" i="2"/>
  <c r="I10" i="2"/>
  <c r="J16" i="2"/>
  <c r="J5" i="2"/>
  <c r="K10" i="2"/>
  <c r="I15" i="2" l="1"/>
  <c r="J10" i="2"/>
  <c r="J9" i="2"/>
  <c r="K12" i="2"/>
  <c r="I9" i="2"/>
  <c r="D5" i="1" l="1"/>
  <c r="P5" i="2"/>
  <c r="O5" i="2"/>
  <c r="N5" i="2"/>
  <c r="I5" i="2"/>
  <c r="F5" i="2"/>
  <c r="E5" i="2"/>
  <c r="D5" i="2"/>
  <c r="E11" i="1" l="1"/>
  <c r="E12" i="1"/>
  <c r="E10" i="1"/>
  <c r="E9" i="1"/>
  <c r="E8" i="1"/>
  <c r="E16" i="1"/>
  <c r="E13" i="1"/>
  <c r="E15" i="1" l="1"/>
  <c r="P15" i="2"/>
  <c r="O15" i="2"/>
  <c r="I15" i="1" l="1"/>
  <c r="H15" i="1"/>
  <c r="G15" i="1"/>
  <c r="F15" i="1"/>
  <c r="K12" i="1" l="1"/>
  <c r="K10" i="1"/>
  <c r="K9" i="1"/>
  <c r="K8" i="1"/>
  <c r="K14" i="1"/>
  <c r="K16" i="1"/>
  <c r="K13" i="1"/>
  <c r="J12" i="1"/>
  <c r="J10" i="1"/>
  <c r="H12" i="1"/>
  <c r="I10" i="1"/>
  <c r="I16" i="1"/>
  <c r="H10" i="1"/>
  <c r="H16" i="1"/>
  <c r="G11" i="1"/>
  <c r="G12" i="1"/>
  <c r="G10" i="1"/>
  <c r="G9" i="1"/>
  <c r="G8" i="1"/>
  <c r="G16" i="1"/>
  <c r="G13" i="1"/>
  <c r="F11" i="1"/>
  <c r="F12" i="1"/>
  <c r="F10" i="1"/>
  <c r="F9" i="1"/>
  <c r="F8" i="1"/>
  <c r="F13" i="1"/>
  <c r="D8" i="1" l="1"/>
  <c r="D11" i="1"/>
  <c r="D15" i="1"/>
  <c r="D16" i="1"/>
  <c r="D9" i="1"/>
  <c r="D13" i="1"/>
  <c r="D12" i="1"/>
  <c r="D14" i="1"/>
  <c r="D10" i="1"/>
  <c r="O16" i="2" l="1"/>
  <c r="O9" i="2"/>
  <c r="O13" i="2"/>
  <c r="O12" i="2"/>
  <c r="O14" i="2" l="1"/>
  <c r="O10" i="2"/>
  <c r="O8" i="2"/>
  <c r="N12" i="2" l="1"/>
  <c r="N16" i="2"/>
  <c r="N9" i="2"/>
  <c r="N13" i="2"/>
  <c r="N14" i="2"/>
  <c r="N10" i="2"/>
  <c r="N8" i="2"/>
  <c r="M8" i="2"/>
  <c r="M12" i="2"/>
  <c r="M10" i="2"/>
  <c r="M9" i="2"/>
  <c r="M16" i="2"/>
  <c r="I12" i="2" l="1"/>
  <c r="I8" i="2"/>
  <c r="K9" i="2"/>
  <c r="J12" i="2"/>
  <c r="I14" i="2" l="1"/>
  <c r="I16" i="2"/>
  <c r="I11" i="2" l="1"/>
  <c r="I13" i="2"/>
  <c r="F9" i="2" l="1"/>
  <c r="G14" i="2"/>
  <c r="D16" i="2" l="1"/>
  <c r="D15" i="2"/>
  <c r="D11" i="2"/>
  <c r="D9" i="2"/>
  <c r="D13" i="2"/>
  <c r="D12" i="2"/>
  <c r="D14" i="2"/>
  <c r="D10" i="2"/>
  <c r="D8" i="2"/>
  <c r="P11" i="2" l="1"/>
  <c r="P12" i="2"/>
  <c r="P10" i="2"/>
  <c r="P9" i="2"/>
  <c r="P8" i="2"/>
  <c r="P16" i="2"/>
  <c r="P13" i="2"/>
  <c r="P14" i="2" l="1"/>
  <c r="L8" i="2" l="1"/>
  <c r="I9" i="1" l="1"/>
  <c r="I12" i="1"/>
  <c r="F16" i="1" l="1"/>
  <c r="F8" i="2"/>
</calcChain>
</file>

<file path=xl/sharedStrings.xml><?xml version="1.0" encoding="utf-8"?>
<sst xmlns="http://schemas.openxmlformats.org/spreadsheetml/2006/main" count="75" uniqueCount="49">
  <si>
    <t>D302</t>
  </si>
  <si>
    <t>D313</t>
  </si>
  <si>
    <t>D399</t>
  </si>
  <si>
    <t>R499</t>
  </si>
  <si>
    <t>R699</t>
  </si>
  <si>
    <t>Biggest Percentage of Obligations</t>
  </si>
  <si>
    <t>Obligations</t>
  </si>
  <si>
    <t>Small Business</t>
  </si>
  <si>
    <t>SDB</t>
  </si>
  <si>
    <t>VOSB</t>
  </si>
  <si>
    <t>HUBZone</t>
  </si>
  <si>
    <t>WOSB</t>
  </si>
  <si>
    <t>Special Interest Functions</t>
  </si>
  <si>
    <t>% Total Obligations</t>
  </si>
  <si>
    <t>8(a) Program</t>
  </si>
  <si>
    <t>Fixed Price</t>
  </si>
  <si>
    <t>Cost</t>
  </si>
  <si>
    <t>T&amp;M/LH</t>
  </si>
  <si>
    <t>Other</t>
  </si>
  <si>
    <t>Competed</t>
  </si>
  <si>
    <t>Not Competed</t>
  </si>
  <si>
    <t>blank</t>
  </si>
  <si>
    <t>Q1</t>
  </si>
  <si>
    <t>Q2</t>
  </si>
  <si>
    <t>Q3</t>
  </si>
  <si>
    <t>Q4</t>
  </si>
  <si>
    <t>Contract Type Analysis</t>
  </si>
  <si>
    <t>(as % of PSC Obligations)</t>
  </si>
  <si>
    <t>Competition Analysis</t>
  </si>
  <si>
    <t>(as a % of PSC Obligations)</t>
  </si>
  <si>
    <t>Time of Obligation Analysis</t>
  </si>
  <si>
    <t>Small Business Analysis</t>
  </si>
  <si>
    <t>SDVOSB</t>
  </si>
  <si>
    <t>Not Available for Comp.</t>
  </si>
  <si>
    <t>IT AND TELECOM- OTHER IT AND TELECOMMUNICATIONS</t>
  </si>
  <si>
    <t>SUPPORT- PROFESSIONAL: OTHER</t>
  </si>
  <si>
    <t>SUPPORT- ADMINISTRATIVE: OTHER</t>
  </si>
  <si>
    <t>IT AND TELECOM- SYSTEMS DEVELOPMENT</t>
  </si>
  <si>
    <t>IT AND TELECOM- COMPUTER AIDED DESIGN/COMPUTER AIDED MANUFACTURING (CAD/CAM)</t>
  </si>
  <si>
    <t>R425</t>
  </si>
  <si>
    <t>SUPPORT - PROFESSIONAL: ENGINEERING/TECHNICAL</t>
  </si>
  <si>
    <t>Z2AA</t>
  </si>
  <si>
    <t>REPAIR OR ALTERATION OF OFFICE BUILDINGS</t>
  </si>
  <si>
    <t>D319</t>
  </si>
  <si>
    <t>IT AND TELECOM-ANNUAL SOFTWARE MAINTENANCE SERVICE PLANS</t>
  </si>
  <si>
    <t>B528</t>
  </si>
  <si>
    <t>D304</t>
  </si>
  <si>
    <t>IT AND TELECOM-TELECOMMUNICATIONS AND TRANSMISSION</t>
  </si>
  <si>
    <t>SPECIAL STUDIES/ANALYSIS REGULATORY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</si>
</sst>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0.0%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left"/>
    </xf>
    <xf numFmtId="165" fontId="0" fillId="0" borderId="0" xfId="0" applyNumberFormat="1"/>
    <xf numFmtId="165" fontId="3" fillId="0" borderId="0" xfId="0" applyNumberFormat="1" applyFont="1" applyAlignment="1">
      <alignment horizontal="right"/>
    </xf>
    <xf numFmtId="166" fontId="0" fillId="0" borderId="0" xfId="0" applyNumberFormat="1"/>
    <xf numFmtId="166" fontId="0" fillId="0" borderId="6" xfId="0" applyNumberFormat="1" applyBorder="1"/>
    <xf numFmtId="0" fontId="0" fillId="0" borderId="6" xfId="0" applyBorder="1"/>
    <xf numFmtId="165" fontId="0" fillId="0" borderId="5" xfId="0" applyNumberFormat="1" applyBorder="1"/>
    <xf numFmtId="0" fontId="0" fillId="0" borderId="11" xfId="0" applyBorder="1"/>
    <xf numFmtId="166" fontId="0" fillId="0" borderId="11" xfId="0" applyNumberFormat="1" applyBorder="1"/>
    <xf numFmtId="166" fontId="1" fillId="0" borderId="4" xfId="0" applyNumberFormat="1" applyFont="1" applyBorder="1" applyAlignment="1">
      <alignment wrapText="1"/>
    </xf>
    <xf numFmtId="166" fontId="1" fillId="0" borderId="5" xfId="0" applyNumberFormat="1" applyFont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0" fillId="0" borderId="4" xfId="0" applyNumberFormat="1" applyBorder="1"/>
    <xf numFmtId="166" fontId="0" fillId="0" borderId="5" xfId="0" applyNumberFormat="1" applyBorder="1"/>
    <xf numFmtId="166" fontId="1" fillId="0" borderId="4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horizontal="center" wrapText="1"/>
    </xf>
    <xf numFmtId="166" fontId="1" fillId="0" borderId="6" xfId="0" applyNumberFormat="1" applyFont="1" applyBorder="1" applyAlignment="1">
      <alignment horizontal="center" wrapText="1"/>
    </xf>
    <xf numFmtId="0" fontId="0" fillId="0" borderId="10" xfId="0" applyBorder="1"/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2" xfId="0" applyBorder="1"/>
    <xf numFmtId="0" fontId="0" fillId="0" borderId="18" xfId="0" applyBorder="1" applyAlignment="1">
      <alignment wrapText="1"/>
    </xf>
    <xf numFmtId="165" fontId="0" fillId="0" borderId="18" xfId="0" applyNumberFormat="1" applyBorder="1"/>
    <xf numFmtId="0" fontId="0" fillId="0" borderId="18" xfId="0" applyBorder="1"/>
    <xf numFmtId="166" fontId="0" fillId="0" borderId="18" xfId="0" applyNumberFormat="1" applyBorder="1"/>
    <xf numFmtId="166" fontId="0" fillId="0" borderId="12" xfId="0" applyNumberFormat="1" applyBorder="1"/>
    <xf numFmtId="0" fontId="1" fillId="0" borderId="5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0" fontId="1" fillId="0" borderId="3" xfId="0" applyFont="1" applyBorder="1" applyAlignment="1">
      <alignment wrapText="1"/>
    </xf>
    <xf numFmtId="166" fontId="0" fillId="0" borderId="15" xfId="0" applyNumberFormat="1" applyBorder="1"/>
    <xf numFmtId="0" fontId="4" fillId="0" borderId="5" xfId="0" applyFont="1" applyBorder="1" applyAlignment="1">
      <alignment horizontal="left" wrapText="1"/>
    </xf>
    <xf numFmtId="164" fontId="1" fillId="0" borderId="6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164" fontId="1" fillId="0" borderId="9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 wrapText="1"/>
    </xf>
    <xf numFmtId="166" fontId="0" fillId="0" borderId="4" xfId="0" applyNumberFormat="1" applyFill="1" applyBorder="1" applyAlignment="1">
      <alignment horizontal="right"/>
    </xf>
    <xf numFmtId="166" fontId="0" fillId="0" borderId="5" xfId="0" applyNumberForma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1" fillId="0" borderId="13" xfId="0" applyNumberFormat="1" applyFont="1" applyBorder="1"/>
    <xf numFmtId="166" fontId="0" fillId="0" borderId="19" xfId="0" applyNumberFormat="1" applyFill="1" applyBorder="1" applyAlignment="1">
      <alignment horizontal="right"/>
    </xf>
    <xf numFmtId="166" fontId="0" fillId="0" borderId="15" xfId="0" applyNumberForma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166" fontId="1" fillId="0" borderId="5" xfId="0" applyNumberFormat="1" applyFont="1" applyBorder="1"/>
    <xf numFmtId="8" fontId="5" fillId="0" borderId="6" xfId="0" applyNumberFormat="1" applyFont="1" applyFill="1" applyBorder="1"/>
    <xf numFmtId="166" fontId="0" fillId="0" borderId="11" xfId="0" applyNumberFormat="1" applyFill="1" applyBorder="1" applyAlignment="1">
      <alignment horizontal="right"/>
    </xf>
    <xf numFmtId="166" fontId="0" fillId="0" borderId="19" xfId="0" applyNumberFormat="1" applyBorder="1"/>
    <xf numFmtId="0" fontId="0" fillId="0" borderId="13" xfId="0" applyBorder="1" applyAlignment="1"/>
    <xf numFmtId="0" fontId="0" fillId="0" borderId="19" xfId="0" applyBorder="1" applyAlignment="1"/>
    <xf numFmtId="0" fontId="0" fillId="2" borderId="17" xfId="0" applyFill="1" applyBorder="1" applyAlignment="1"/>
    <xf numFmtId="0" fontId="0" fillId="2" borderId="0" xfId="0" applyFill="1" applyBorder="1" applyAlignment="1"/>
    <xf numFmtId="0" fontId="0" fillId="2" borderId="10" xfId="0" applyFill="1" applyBorder="1" applyAlignment="1"/>
    <xf numFmtId="166" fontId="1" fillId="0" borderId="1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workbookViewId="0">
      <pane xSplit="1" topLeftCell="B1" activePane="topRight" state="frozen"/>
      <selection pane="topRight" activeCell="G14" sqref="G14"/>
    </sheetView>
  </sheetViews>
  <sheetFormatPr defaultRowHeight="13.2" x14ac:dyDescent="0.25"/>
  <cols>
    <col min="1" max="1" width="5.88671875" bestFit="1" customWidth="1"/>
    <col min="2" max="2" width="37" style="4" bestFit="1" customWidth="1"/>
    <col min="3" max="3" width="14.88671875" style="6" bestFit="1" customWidth="1"/>
    <col min="4" max="4" width="10.33203125" customWidth="1"/>
    <col min="5" max="8" width="9.109375" style="8" customWidth="1"/>
    <col min="9" max="9" width="10.44140625" style="8" customWidth="1"/>
    <col min="10" max="10" width="12.33203125" style="8" bestFit="1" customWidth="1"/>
    <col min="11" max="12" width="9.109375" style="8"/>
    <col min="13" max="13" width="12.33203125" style="8" bestFit="1" customWidth="1"/>
    <col min="14" max="16" width="9.109375" style="8"/>
  </cols>
  <sheetData>
    <row r="1" spans="1:16" x14ac:dyDescent="0.25">
      <c r="E1" s="68" t="s">
        <v>26</v>
      </c>
      <c r="F1" s="69"/>
      <c r="G1" s="69"/>
      <c r="H1" s="70"/>
      <c r="I1" s="68" t="s">
        <v>28</v>
      </c>
      <c r="J1" s="69"/>
      <c r="K1" s="69"/>
      <c r="L1" s="70"/>
      <c r="M1" s="68" t="s">
        <v>30</v>
      </c>
      <c r="N1" s="69"/>
      <c r="O1" s="69"/>
      <c r="P1" s="70"/>
    </row>
    <row r="2" spans="1:16" ht="13.8" thickBot="1" x14ac:dyDescent="0.3">
      <c r="E2" s="71" t="s">
        <v>27</v>
      </c>
      <c r="F2" s="72"/>
      <c r="G2" s="72"/>
      <c r="H2" s="73"/>
      <c r="I2" s="71" t="s">
        <v>29</v>
      </c>
      <c r="J2" s="72"/>
      <c r="K2" s="72"/>
      <c r="L2" s="73"/>
      <c r="M2" s="71" t="s">
        <v>27</v>
      </c>
      <c r="N2" s="72"/>
      <c r="O2" s="72"/>
      <c r="P2" s="73"/>
    </row>
    <row r="3" spans="1:16" s="4" customFormat="1" ht="39.6" x14ac:dyDescent="0.25">
      <c r="A3" s="41"/>
      <c r="B3" s="42"/>
      <c r="C3" s="43" t="s">
        <v>6</v>
      </c>
      <c r="D3" s="44" t="s">
        <v>13</v>
      </c>
      <c r="E3" s="14" t="s">
        <v>15</v>
      </c>
      <c r="F3" s="15" t="s">
        <v>16</v>
      </c>
      <c r="G3" s="15" t="s">
        <v>17</v>
      </c>
      <c r="H3" s="16" t="s">
        <v>18</v>
      </c>
      <c r="I3" s="14" t="s">
        <v>19</v>
      </c>
      <c r="J3" s="15" t="s">
        <v>20</v>
      </c>
      <c r="K3" s="15" t="s">
        <v>33</v>
      </c>
      <c r="L3" s="16" t="s">
        <v>21</v>
      </c>
      <c r="M3" s="19" t="s">
        <v>22</v>
      </c>
      <c r="N3" s="20" t="s">
        <v>23</v>
      </c>
      <c r="O3" s="20" t="s">
        <v>24</v>
      </c>
      <c r="P3" s="21" t="s">
        <v>25</v>
      </c>
    </row>
    <row r="4" spans="1:16" x14ac:dyDescent="0.25">
      <c r="A4" s="63" t="s">
        <v>12</v>
      </c>
      <c r="B4" s="64"/>
      <c r="C4" s="11"/>
      <c r="D4" s="12"/>
      <c r="E4" s="17"/>
      <c r="F4" s="18"/>
      <c r="G4" s="18"/>
      <c r="H4" s="9"/>
      <c r="I4" s="17"/>
      <c r="J4" s="18"/>
      <c r="K4" s="18"/>
      <c r="L4" s="9"/>
      <c r="M4" s="17"/>
      <c r="N4" s="18"/>
      <c r="O4" s="18"/>
      <c r="P4" s="9"/>
    </row>
    <row r="5" spans="1:16" ht="27" thickBot="1" x14ac:dyDescent="0.3">
      <c r="A5" s="58" t="s">
        <v>45</v>
      </c>
      <c r="B5" s="40" t="s">
        <v>48</v>
      </c>
      <c r="C5" s="50">
        <v>3690557.6</v>
      </c>
      <c r="D5" s="45">
        <f t="shared" ref="D5" si="0">C5/108859137.04</f>
        <v>3.3902139042714573E-2</v>
      </c>
      <c r="E5" s="52">
        <f>127304.6/C5</f>
        <v>3.4494679069634354E-2</v>
      </c>
      <c r="F5" s="53">
        <f>3563273/C5</f>
        <v>0.96551074016565952</v>
      </c>
      <c r="G5" s="53">
        <v>0</v>
      </c>
      <c r="H5" s="54">
        <v>0</v>
      </c>
      <c r="I5" s="52">
        <f>127304.6/C5</f>
        <v>3.4494679069634354E-2</v>
      </c>
      <c r="J5" s="53">
        <f>3563273/C5</f>
        <v>0.96551074016565952</v>
      </c>
      <c r="K5" s="53">
        <v>0</v>
      </c>
      <c r="L5" s="54">
        <v>0</v>
      </c>
      <c r="M5" s="17">
        <v>0</v>
      </c>
      <c r="N5" s="18">
        <f>1700000/C5</f>
        <v>0.46063499997940688</v>
      </c>
      <c r="O5" s="18">
        <f>1000000/C5</f>
        <v>0.27096176469376876</v>
      </c>
      <c r="P5" s="54">
        <f>1101567.35/C5</f>
        <v>0.29848263308503842</v>
      </c>
    </row>
    <row r="6" spans="1:16" x14ac:dyDescent="0.25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</row>
    <row r="7" spans="1:16" x14ac:dyDescent="0.25">
      <c r="A7" s="30" t="s">
        <v>5</v>
      </c>
      <c r="B7" s="34"/>
      <c r="C7" s="35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</row>
    <row r="8" spans="1:16" ht="26.4" x14ac:dyDescent="0.25">
      <c r="A8" s="5" t="s">
        <v>2</v>
      </c>
      <c r="B8" s="39" t="s">
        <v>34</v>
      </c>
      <c r="C8" s="47">
        <v>89817300.430000007</v>
      </c>
      <c r="D8" s="45">
        <f t="shared" ref="D8" si="1">C8/108859137.04</f>
        <v>0.82507819621054757</v>
      </c>
      <c r="E8" s="17">
        <f>60012647.23/C8</f>
        <v>0.66816356027947466</v>
      </c>
      <c r="F8" s="18">
        <f>0</f>
        <v>0</v>
      </c>
      <c r="G8" s="18">
        <f>43846744.51/C8</f>
        <v>0.48817704718449412</v>
      </c>
      <c r="H8" s="9">
        <v>0</v>
      </c>
      <c r="I8" s="17">
        <f>74800880.26/C8</f>
        <v>0.83281149513391139</v>
      </c>
      <c r="J8" s="18">
        <v>0</v>
      </c>
      <c r="K8" s="18">
        <v>0</v>
      </c>
      <c r="L8" s="9">
        <f>40000/C8</f>
        <v>4.4534849977120378E-4</v>
      </c>
      <c r="M8" s="17">
        <f>1396000/C8</f>
        <v>1.5542662642015013E-2</v>
      </c>
      <c r="N8" s="18">
        <f>8727808.27/C8</f>
        <v>9.717290798338013E-2</v>
      </c>
      <c r="O8" s="18">
        <f>33473019.57/C8</f>
        <v>0.37267897620779111</v>
      </c>
      <c r="P8" s="9">
        <f>36959099.05/C8</f>
        <v>0.41149198287032057</v>
      </c>
    </row>
    <row r="9" spans="1:16" ht="26.4" x14ac:dyDescent="0.25">
      <c r="A9" s="49" t="s">
        <v>39</v>
      </c>
      <c r="B9" s="51" t="s">
        <v>40</v>
      </c>
      <c r="C9" s="47">
        <v>10380285.300000001</v>
      </c>
      <c r="D9" s="45">
        <f t="shared" ref="D9:D16" si="2">C9/108859137.04</f>
        <v>9.5355204737529675E-2</v>
      </c>
      <c r="E9" s="52">
        <f>1027373.79/C9</f>
        <v>9.8973560004174455E-2</v>
      </c>
      <c r="F9" s="53">
        <f>4641547.87/C9</f>
        <v>0.44715031772777958</v>
      </c>
      <c r="G9" s="61">
        <f>6531863.64/C9</f>
        <v>0.62925665829242661</v>
      </c>
      <c r="H9" s="54">
        <v>0</v>
      </c>
      <c r="I9" s="52">
        <f>8081610.99/C9</f>
        <v>0.77855384090454616</v>
      </c>
      <c r="J9" s="53">
        <f>1114094.69/C9</f>
        <v>0.10732794502285981</v>
      </c>
      <c r="K9" s="18">
        <f>226899/C9</f>
        <v>2.1858647757976361E-2</v>
      </c>
      <c r="L9" s="54">
        <v>0</v>
      </c>
      <c r="M9" s="52">
        <f>119630.03/C9</f>
        <v>1.152473429607951E-2</v>
      </c>
      <c r="N9" s="53">
        <f>1439646/C9</f>
        <v>0.13869040767116486</v>
      </c>
      <c r="O9" s="53">
        <f>2933285.93/C9</f>
        <v>0.28258239973423466</v>
      </c>
      <c r="P9" s="54">
        <f>8235155.5/C9</f>
        <v>0.79334577634393144</v>
      </c>
    </row>
    <row r="10" spans="1:16" x14ac:dyDescent="0.25">
      <c r="A10" s="5" t="s">
        <v>3</v>
      </c>
      <c r="B10" s="39" t="s">
        <v>35</v>
      </c>
      <c r="C10" s="47">
        <v>9812807.4100000001</v>
      </c>
      <c r="D10" s="45">
        <f t="shared" si="2"/>
        <v>9.0142248752112644E-2</v>
      </c>
      <c r="E10" s="17">
        <f>2590333.33/C10</f>
        <v>0.2639747446138862</v>
      </c>
      <c r="F10" s="18">
        <f>6471286.48/C10</f>
        <v>0.65947350331213728</v>
      </c>
      <c r="G10" s="13">
        <f>836330.63/C10</f>
        <v>8.5228476933901218E-2</v>
      </c>
      <c r="H10" s="9">
        <v>0</v>
      </c>
      <c r="I10" s="17">
        <f>429067/C10</f>
        <v>4.3725203407411012E-2</v>
      </c>
      <c r="J10" s="53">
        <f>3479969.48/C10</f>
        <v>0.35463546104590266</v>
      </c>
      <c r="K10" s="18">
        <f>487712.3/C10</f>
        <v>4.970160725899745E-2</v>
      </c>
      <c r="L10" s="9">
        <v>0</v>
      </c>
      <c r="M10" s="17">
        <f>954195/C10</f>
        <v>9.7239756181049922E-2</v>
      </c>
      <c r="N10" s="18">
        <f>1139608.25/C10</f>
        <v>0.11613478206437153</v>
      </c>
      <c r="O10" s="59">
        <f>1642188/C10</f>
        <v>0.16735149599761684</v>
      </c>
      <c r="P10" s="9">
        <f>7398967.78/C10</f>
        <v>0.75401131101991126</v>
      </c>
    </row>
    <row r="11" spans="1:16" ht="26.4" x14ac:dyDescent="0.25">
      <c r="A11" s="49" t="s">
        <v>41</v>
      </c>
      <c r="B11" s="39" t="s">
        <v>42</v>
      </c>
      <c r="C11" s="47">
        <v>6982786.5700000003</v>
      </c>
      <c r="D11" s="45">
        <f t="shared" si="2"/>
        <v>6.4145158228052029E-2</v>
      </c>
      <c r="E11" s="52">
        <f>6982786.57/C11</f>
        <v>1</v>
      </c>
      <c r="F11" s="53">
        <v>0</v>
      </c>
      <c r="G11" s="53">
        <v>0</v>
      </c>
      <c r="H11" s="54">
        <v>0</v>
      </c>
      <c r="I11" s="52">
        <f>6816950.57/C11</f>
        <v>0.97625074197277095</v>
      </c>
      <c r="J11" s="53">
        <v>0</v>
      </c>
      <c r="K11" s="53">
        <v>0</v>
      </c>
      <c r="L11" s="54">
        <v>0</v>
      </c>
      <c r="M11" s="52">
        <v>0</v>
      </c>
      <c r="N11" s="53">
        <v>0</v>
      </c>
      <c r="O11" s="53">
        <v>0</v>
      </c>
      <c r="P11" s="54">
        <f>1101567.35/C11</f>
        <v>0.15775469276587098</v>
      </c>
    </row>
    <row r="12" spans="1:16" x14ac:dyDescent="0.25">
      <c r="A12" s="5" t="s">
        <v>4</v>
      </c>
      <c r="B12" s="39" t="s">
        <v>36</v>
      </c>
      <c r="C12" s="47">
        <v>5451155.5899999999</v>
      </c>
      <c r="D12" s="45">
        <f t="shared" si="2"/>
        <v>5.0075315111096155E-2</v>
      </c>
      <c r="E12" s="17">
        <f>1858317.14/C12</f>
        <v>0.34090333862585637</v>
      </c>
      <c r="F12" s="18">
        <v>0</v>
      </c>
      <c r="G12" s="18">
        <f>3829138.45/C12</f>
        <v>0.70244526812341457</v>
      </c>
      <c r="H12" s="9">
        <v>0</v>
      </c>
      <c r="I12" s="17">
        <f>2411799.16/C12</f>
        <v>0.44243814365239942</v>
      </c>
      <c r="J12" s="18">
        <f>45528/C12</f>
        <v>8.3519905547219941E-3</v>
      </c>
      <c r="K12" s="18">
        <f>2430279.76/C12</f>
        <v>0.44582836058803449</v>
      </c>
      <c r="L12" s="9">
        <v>0</v>
      </c>
      <c r="M12" s="17">
        <f>90000/C12</f>
        <v>1.6510260717030826E-2</v>
      </c>
      <c r="N12" s="18">
        <f>979634.04/C12</f>
        <v>0.17971126008531341</v>
      </c>
      <c r="O12" s="59">
        <f>3352704.03/C12</f>
        <v>0.61504464047044383</v>
      </c>
      <c r="P12" s="9">
        <f>2036708.36/C12</f>
        <v>0.37362873364618093</v>
      </c>
    </row>
    <row r="13" spans="1:16" ht="26.4" x14ac:dyDescent="0.25">
      <c r="A13" s="48" t="s">
        <v>0</v>
      </c>
      <c r="B13" s="39" t="s">
        <v>37</v>
      </c>
      <c r="C13" s="47">
        <v>3949620.07</v>
      </c>
      <c r="D13" s="45">
        <f t="shared" si="2"/>
        <v>3.6281934409866969E-2</v>
      </c>
      <c r="E13" s="17">
        <f>1482017.14/C13</f>
        <v>0.37523030411378278</v>
      </c>
      <c r="F13" s="18">
        <v>0</v>
      </c>
      <c r="G13" s="18">
        <f>3834381.56/C13</f>
        <v>0.97082288727583876</v>
      </c>
      <c r="H13" s="9">
        <v>0</v>
      </c>
      <c r="I13" s="17">
        <f>3526831.56/C13</f>
        <v>0.89295463803940012</v>
      </c>
      <c r="J13" s="18">
        <v>0</v>
      </c>
      <c r="K13" s="18">
        <v>0</v>
      </c>
      <c r="L13" s="9">
        <v>0</v>
      </c>
      <c r="M13" s="17">
        <v>0</v>
      </c>
      <c r="N13" s="18">
        <f>1759000/C13</f>
        <v>0.4453592924951893</v>
      </c>
      <c r="O13" s="18">
        <f>1329620.07/C13</f>
        <v>0.33664505609016721</v>
      </c>
      <c r="P13" s="9">
        <f>2141050/C13</f>
        <v>0.54209011551837694</v>
      </c>
    </row>
    <row r="14" spans="1:16" ht="26.4" x14ac:dyDescent="0.25">
      <c r="A14" s="5" t="s">
        <v>43</v>
      </c>
      <c r="B14" s="39" t="s">
        <v>44</v>
      </c>
      <c r="C14" s="47">
        <v>3742434.66</v>
      </c>
      <c r="D14" s="45">
        <f t="shared" si="2"/>
        <v>3.4378691231263872E-2</v>
      </c>
      <c r="E14" s="17">
        <f>1761991.58/C14</f>
        <v>0.47081425330749799</v>
      </c>
      <c r="F14" s="18">
        <v>0</v>
      </c>
      <c r="G14" s="18">
        <f>1980443.08/C14</f>
        <v>0.52918574669250207</v>
      </c>
      <c r="H14" s="9">
        <v>0</v>
      </c>
      <c r="I14" s="17">
        <f>3281235.22/C14</f>
        <v>0.87676486514797292</v>
      </c>
      <c r="J14" s="18">
        <v>0</v>
      </c>
      <c r="K14" s="18">
        <v>0</v>
      </c>
      <c r="L14" s="9">
        <v>0</v>
      </c>
      <c r="M14" s="17">
        <v>0</v>
      </c>
      <c r="N14" s="18">
        <f>61614.6/C14</f>
        <v>1.6463774413632646E-2</v>
      </c>
      <c r="O14" s="18">
        <f>656498.58/C14</f>
        <v>0.17542018489108369</v>
      </c>
      <c r="P14" s="9">
        <f>4225000/C14</f>
        <v>1.1289442258425428</v>
      </c>
    </row>
    <row r="15" spans="1:16" ht="39.6" x14ac:dyDescent="0.25">
      <c r="A15" s="49" t="s">
        <v>46</v>
      </c>
      <c r="B15" s="51" t="s">
        <v>47</v>
      </c>
      <c r="C15" s="60">
        <v>3249664</v>
      </c>
      <c r="D15" s="45">
        <f t="shared" si="2"/>
        <v>2.9852009563569471E-2</v>
      </c>
      <c r="E15" s="55">
        <v>0</v>
      </c>
      <c r="F15" s="18">
        <v>0</v>
      </c>
      <c r="G15" s="18">
        <f>3219664/C15</f>
        <v>0.99076827635103193</v>
      </c>
      <c r="H15" s="9">
        <v>0</v>
      </c>
      <c r="I15" s="17">
        <f>3219664/C15</f>
        <v>0.99076827635103193</v>
      </c>
      <c r="J15" s="18">
        <v>0</v>
      </c>
      <c r="K15" s="18">
        <v>0</v>
      </c>
      <c r="L15" s="9">
        <v>0</v>
      </c>
      <c r="M15" s="17">
        <v>0</v>
      </c>
      <c r="N15" s="18">
        <v>0</v>
      </c>
      <c r="O15" s="18">
        <f>1028464/C15</f>
        <v>0.31648318103040807</v>
      </c>
      <c r="P15" s="9">
        <f>1084000/C15</f>
        <v>0.33357294784937763</v>
      </c>
    </row>
    <row r="16" spans="1:16" ht="39.6" x14ac:dyDescent="0.25">
      <c r="A16" s="48" t="s">
        <v>1</v>
      </c>
      <c r="B16" s="39" t="s">
        <v>38</v>
      </c>
      <c r="C16" s="47">
        <v>2579571.12</v>
      </c>
      <c r="D16" s="45">
        <f t="shared" si="2"/>
        <v>2.3696413458175251E-2</v>
      </c>
      <c r="E16" s="52">
        <f>2579571.12/C16</f>
        <v>1</v>
      </c>
      <c r="F16" s="18">
        <v>0</v>
      </c>
      <c r="G16" s="18">
        <v>0</v>
      </c>
      <c r="H16" s="9">
        <v>0</v>
      </c>
      <c r="I16" s="17">
        <f>1886869.27/C16</f>
        <v>0.73146627180412838</v>
      </c>
      <c r="J16" s="18">
        <f>99318.79/C16</f>
        <v>3.8502055333911475E-2</v>
      </c>
      <c r="K16" s="18">
        <v>0</v>
      </c>
      <c r="L16" s="9">
        <v>0</v>
      </c>
      <c r="M16" s="17">
        <f>182332.18/C16</f>
        <v>7.0683137435652479E-2</v>
      </c>
      <c r="N16" s="18">
        <f>424656.5/C16</f>
        <v>0.1646229083228378</v>
      </c>
      <c r="O16" s="18">
        <f>655498.58/C16</f>
        <v>0.25411145865208784</v>
      </c>
      <c r="P16" s="9">
        <f>372745.27/C16</f>
        <v>0.14449893127970823</v>
      </c>
    </row>
    <row r="17" spans="1:3" x14ac:dyDescent="0.25">
      <c r="A17" s="1"/>
      <c r="B17" s="3"/>
      <c r="C17" s="7"/>
    </row>
    <row r="18" spans="1:3" x14ac:dyDescent="0.25">
      <c r="A18" s="1"/>
      <c r="B18" s="3"/>
      <c r="C18" s="7"/>
    </row>
    <row r="19" spans="1:3" x14ac:dyDescent="0.25">
      <c r="A19" s="1"/>
      <c r="B19" s="3"/>
      <c r="C19" s="7"/>
    </row>
    <row r="20" spans="1:3" x14ac:dyDescent="0.25">
      <c r="A20" s="1"/>
      <c r="B20" s="3"/>
      <c r="C20" s="7"/>
    </row>
    <row r="21" spans="1:3" x14ac:dyDescent="0.25">
      <c r="A21" s="1"/>
      <c r="B21" s="3"/>
      <c r="C21" s="7"/>
    </row>
    <row r="22" spans="1:3" x14ac:dyDescent="0.25">
      <c r="A22" s="1"/>
      <c r="B22" s="3"/>
      <c r="C22" s="7"/>
    </row>
    <row r="23" spans="1:3" x14ac:dyDescent="0.25">
      <c r="A23" s="1"/>
      <c r="B23" s="3"/>
      <c r="C23" s="7"/>
    </row>
    <row r="24" spans="1:3" x14ac:dyDescent="0.25">
      <c r="A24" s="1"/>
      <c r="B24" s="3"/>
      <c r="C24" s="7"/>
    </row>
    <row r="25" spans="1:3" x14ac:dyDescent="0.25">
      <c r="A25" s="1"/>
      <c r="B25" s="3"/>
      <c r="C25" s="7"/>
    </row>
    <row r="26" spans="1:3" x14ac:dyDescent="0.25">
      <c r="A26" s="1"/>
      <c r="B26" s="3"/>
      <c r="C26" s="7"/>
    </row>
    <row r="27" spans="1:3" x14ac:dyDescent="0.25">
      <c r="A27" s="1"/>
      <c r="B27" s="3"/>
      <c r="C27" s="7"/>
    </row>
    <row r="28" spans="1:3" x14ac:dyDescent="0.25">
      <c r="A28" s="1"/>
      <c r="B28" s="3"/>
      <c r="C28" s="7"/>
    </row>
    <row r="29" spans="1:3" x14ac:dyDescent="0.25">
      <c r="A29" s="1"/>
      <c r="B29" s="3"/>
      <c r="C29" s="7"/>
    </row>
    <row r="30" spans="1:3" x14ac:dyDescent="0.25">
      <c r="A30" s="1"/>
      <c r="B30" s="3"/>
      <c r="C30" s="7"/>
    </row>
    <row r="31" spans="1:3" x14ac:dyDescent="0.25">
      <c r="A31" s="1"/>
      <c r="B31" s="3"/>
      <c r="C31" s="7"/>
    </row>
    <row r="32" spans="1:3" x14ac:dyDescent="0.25">
      <c r="A32" s="1"/>
      <c r="B32" s="3"/>
      <c r="C32" s="7"/>
    </row>
    <row r="33" spans="1:3" x14ac:dyDescent="0.25">
      <c r="A33" s="1"/>
      <c r="B33" s="3"/>
      <c r="C33" s="7"/>
    </row>
    <row r="34" spans="1:3" x14ac:dyDescent="0.25">
      <c r="A34" s="1"/>
      <c r="B34" s="3"/>
      <c r="C34" s="7"/>
    </row>
    <row r="35" spans="1:3" x14ac:dyDescent="0.25">
      <c r="A35" s="1"/>
      <c r="B35" s="3"/>
      <c r="C35" s="7"/>
    </row>
    <row r="36" spans="1:3" x14ac:dyDescent="0.25">
      <c r="A36" s="1"/>
      <c r="B36" s="3"/>
      <c r="C36" s="7"/>
    </row>
    <row r="37" spans="1:3" x14ac:dyDescent="0.25">
      <c r="A37" s="1"/>
      <c r="B37" s="3"/>
      <c r="C37" s="7"/>
    </row>
    <row r="38" spans="1:3" x14ac:dyDescent="0.25">
      <c r="A38" s="1"/>
      <c r="B38" s="3"/>
      <c r="C38" s="7"/>
    </row>
    <row r="39" spans="1:3" x14ac:dyDescent="0.25">
      <c r="A39" s="1"/>
      <c r="B39" s="3"/>
      <c r="C39" s="7"/>
    </row>
    <row r="40" spans="1:3" x14ac:dyDescent="0.25">
      <c r="A40" s="1"/>
      <c r="B40" s="3"/>
      <c r="C40" s="7"/>
    </row>
    <row r="41" spans="1:3" x14ac:dyDescent="0.25">
      <c r="A41" s="1"/>
      <c r="B41" s="3"/>
      <c r="C41" s="7"/>
    </row>
    <row r="42" spans="1:3" x14ac:dyDescent="0.25">
      <c r="A42" s="1"/>
      <c r="B42" s="3"/>
      <c r="C42" s="7"/>
    </row>
    <row r="43" spans="1:3" x14ac:dyDescent="0.25">
      <c r="A43" s="1"/>
      <c r="B43" s="3"/>
      <c r="C43" s="7"/>
    </row>
    <row r="44" spans="1:3" x14ac:dyDescent="0.25">
      <c r="A44" s="1"/>
      <c r="B44" s="3"/>
      <c r="C44" s="7"/>
    </row>
    <row r="45" spans="1:3" x14ac:dyDescent="0.25">
      <c r="A45" s="1"/>
      <c r="B45" s="3"/>
      <c r="C45" s="7"/>
    </row>
    <row r="46" spans="1:3" x14ac:dyDescent="0.25">
      <c r="A46" s="1"/>
      <c r="B46" s="3"/>
      <c r="C46" s="7"/>
    </row>
    <row r="47" spans="1:3" x14ac:dyDescent="0.25">
      <c r="A47" s="1"/>
      <c r="B47" s="3"/>
      <c r="C47" s="7"/>
    </row>
    <row r="48" spans="1:3" x14ac:dyDescent="0.25">
      <c r="A48" s="1"/>
      <c r="B48" s="3"/>
      <c r="C48" s="7"/>
    </row>
    <row r="49" spans="1:3" x14ac:dyDescent="0.25">
      <c r="A49" s="1"/>
      <c r="B49" s="3"/>
      <c r="C49" s="7"/>
    </row>
    <row r="50" spans="1:3" x14ac:dyDescent="0.25">
      <c r="A50" s="1"/>
      <c r="B50" s="3"/>
      <c r="C50" s="7"/>
    </row>
    <row r="51" spans="1:3" x14ac:dyDescent="0.25">
      <c r="A51" s="1"/>
      <c r="B51" s="3"/>
      <c r="C51" s="7"/>
    </row>
    <row r="52" spans="1:3" x14ac:dyDescent="0.25">
      <c r="A52" s="1"/>
      <c r="B52" s="3"/>
      <c r="C52" s="7"/>
    </row>
    <row r="53" spans="1:3" x14ac:dyDescent="0.25">
      <c r="A53" s="1"/>
      <c r="B53" s="3"/>
      <c r="C53" s="7"/>
    </row>
    <row r="54" spans="1:3" x14ac:dyDescent="0.25">
      <c r="A54" s="1"/>
      <c r="B54" s="3"/>
      <c r="C54" s="7"/>
    </row>
    <row r="55" spans="1:3" x14ac:dyDescent="0.25">
      <c r="A55" s="1"/>
      <c r="B55" s="3"/>
      <c r="C55" s="7"/>
    </row>
    <row r="56" spans="1:3" x14ac:dyDescent="0.25">
      <c r="A56" s="1"/>
      <c r="B56" s="3"/>
      <c r="C56" s="7"/>
    </row>
    <row r="57" spans="1:3" x14ac:dyDescent="0.25">
      <c r="A57" s="1"/>
      <c r="B57" s="3"/>
      <c r="C57" s="7"/>
    </row>
    <row r="58" spans="1:3" x14ac:dyDescent="0.25">
      <c r="A58" s="1"/>
      <c r="B58" s="3"/>
      <c r="C58" s="7"/>
    </row>
    <row r="59" spans="1:3" x14ac:dyDescent="0.25">
      <c r="A59" s="1"/>
      <c r="B59" s="3"/>
      <c r="C59" s="7"/>
    </row>
    <row r="60" spans="1:3" x14ac:dyDescent="0.25">
      <c r="A60" s="1"/>
      <c r="B60" s="3"/>
      <c r="C60" s="7"/>
    </row>
    <row r="61" spans="1:3" x14ac:dyDescent="0.25">
      <c r="A61" s="1"/>
      <c r="B61" s="3"/>
      <c r="C61" s="7"/>
    </row>
    <row r="62" spans="1:3" x14ac:dyDescent="0.25">
      <c r="A62" s="1"/>
      <c r="B62" s="3"/>
      <c r="C62" s="7"/>
    </row>
    <row r="63" spans="1:3" x14ac:dyDescent="0.25">
      <c r="A63" s="1"/>
      <c r="B63" s="3"/>
      <c r="C63" s="7"/>
    </row>
    <row r="64" spans="1:3" x14ac:dyDescent="0.25">
      <c r="A64" s="1"/>
      <c r="B64" s="3"/>
      <c r="C64" s="7"/>
    </row>
    <row r="65" spans="1:3" x14ac:dyDescent="0.25">
      <c r="A65" s="1"/>
      <c r="B65" s="3"/>
      <c r="C65" s="7"/>
    </row>
    <row r="66" spans="1:3" x14ac:dyDescent="0.25">
      <c r="A66" s="1"/>
      <c r="B66" s="3"/>
      <c r="C66" s="7"/>
    </row>
    <row r="67" spans="1:3" x14ac:dyDescent="0.25">
      <c r="A67" s="1"/>
      <c r="B67" s="3"/>
      <c r="C67" s="7"/>
    </row>
    <row r="68" spans="1:3" x14ac:dyDescent="0.25">
      <c r="A68" s="1"/>
      <c r="B68" s="3"/>
      <c r="C68" s="7"/>
    </row>
    <row r="69" spans="1:3" x14ac:dyDescent="0.25">
      <c r="A69" s="1"/>
      <c r="B69" s="3"/>
      <c r="C69" s="7"/>
    </row>
    <row r="70" spans="1:3" x14ac:dyDescent="0.25">
      <c r="A70" s="1"/>
      <c r="B70" s="3"/>
      <c r="C70" s="7"/>
    </row>
    <row r="71" spans="1:3" x14ac:dyDescent="0.25">
      <c r="A71" s="1"/>
      <c r="B71" s="3"/>
      <c r="C71" s="7"/>
    </row>
    <row r="72" spans="1:3" x14ac:dyDescent="0.25">
      <c r="A72" s="1"/>
      <c r="B72" s="3"/>
      <c r="C72" s="7"/>
    </row>
    <row r="73" spans="1:3" x14ac:dyDescent="0.25">
      <c r="A73" s="1"/>
      <c r="B73" s="3"/>
      <c r="C73" s="7"/>
    </row>
    <row r="74" spans="1:3" x14ac:dyDescent="0.25">
      <c r="A74" s="1"/>
      <c r="B74" s="3"/>
      <c r="C74" s="7"/>
    </row>
    <row r="75" spans="1:3" x14ac:dyDescent="0.25">
      <c r="A75" s="1"/>
      <c r="B75" s="3"/>
      <c r="C75" s="7"/>
    </row>
    <row r="76" spans="1:3" x14ac:dyDescent="0.25">
      <c r="A76" s="1"/>
      <c r="B76" s="3"/>
      <c r="C76" s="7"/>
    </row>
    <row r="77" spans="1:3" x14ac:dyDescent="0.25">
      <c r="A77" s="1"/>
      <c r="B77" s="3"/>
      <c r="C77" s="7"/>
    </row>
    <row r="78" spans="1:3" x14ac:dyDescent="0.25">
      <c r="A78" s="1"/>
      <c r="B78" s="3"/>
      <c r="C78" s="7"/>
    </row>
    <row r="79" spans="1:3" x14ac:dyDescent="0.25">
      <c r="A79" s="1"/>
      <c r="B79" s="3"/>
      <c r="C79" s="7"/>
    </row>
    <row r="80" spans="1:3" x14ac:dyDescent="0.25">
      <c r="A80" s="1"/>
      <c r="B80" s="3"/>
      <c r="C80" s="7"/>
    </row>
    <row r="81" spans="1:3" x14ac:dyDescent="0.25">
      <c r="A81" s="1"/>
      <c r="B81" s="3"/>
      <c r="C81" s="7"/>
    </row>
    <row r="82" spans="1:3" x14ac:dyDescent="0.25">
      <c r="A82" s="1"/>
      <c r="B82" s="3"/>
      <c r="C82" s="7"/>
    </row>
    <row r="83" spans="1:3" x14ac:dyDescent="0.25">
      <c r="A83" s="1"/>
      <c r="B83" s="3"/>
      <c r="C83" s="7"/>
    </row>
    <row r="84" spans="1:3" x14ac:dyDescent="0.25">
      <c r="A84" s="1"/>
      <c r="B84" s="3"/>
      <c r="C84" s="7"/>
    </row>
    <row r="85" spans="1:3" x14ac:dyDescent="0.25">
      <c r="A85" s="1"/>
      <c r="B85" s="3"/>
      <c r="C85" s="7"/>
    </row>
    <row r="86" spans="1:3" x14ac:dyDescent="0.25">
      <c r="A86" s="1"/>
      <c r="B86" s="3"/>
      <c r="C86" s="7"/>
    </row>
    <row r="87" spans="1:3" x14ac:dyDescent="0.25">
      <c r="A87" s="1"/>
      <c r="B87" s="3"/>
      <c r="C87" s="7"/>
    </row>
    <row r="88" spans="1:3" x14ac:dyDescent="0.25">
      <c r="A88" s="1"/>
      <c r="B88" s="3"/>
      <c r="C88" s="7"/>
    </row>
    <row r="89" spans="1:3" x14ac:dyDescent="0.25">
      <c r="A89" s="1"/>
      <c r="B89" s="3"/>
      <c r="C89" s="7"/>
    </row>
    <row r="90" spans="1:3" x14ac:dyDescent="0.25">
      <c r="A90" s="1"/>
      <c r="B90" s="3"/>
      <c r="C90" s="7"/>
    </row>
    <row r="91" spans="1:3" x14ac:dyDescent="0.25">
      <c r="A91" s="1"/>
      <c r="B91" s="3"/>
      <c r="C91" s="7"/>
    </row>
    <row r="92" spans="1:3" x14ac:dyDescent="0.25">
      <c r="A92" s="1"/>
      <c r="B92" s="3"/>
      <c r="C92" s="7"/>
    </row>
    <row r="93" spans="1:3" x14ac:dyDescent="0.25">
      <c r="A93" s="1"/>
      <c r="B93" s="3"/>
      <c r="C93" s="7"/>
    </row>
    <row r="94" spans="1:3" x14ac:dyDescent="0.25">
      <c r="A94" s="1"/>
      <c r="B94" s="3"/>
      <c r="C94" s="7"/>
    </row>
    <row r="95" spans="1:3" x14ac:dyDescent="0.25">
      <c r="A95" s="1"/>
      <c r="B95" s="3"/>
      <c r="C95" s="7"/>
    </row>
    <row r="96" spans="1:3" x14ac:dyDescent="0.25">
      <c r="A96" s="1"/>
      <c r="B96" s="3"/>
      <c r="C96" s="7"/>
    </row>
    <row r="97" spans="1:3" x14ac:dyDescent="0.25">
      <c r="A97" s="1"/>
      <c r="B97" s="3"/>
      <c r="C97" s="7"/>
    </row>
    <row r="98" spans="1:3" x14ac:dyDescent="0.25">
      <c r="A98" s="1"/>
      <c r="B98" s="3"/>
      <c r="C98" s="7"/>
    </row>
    <row r="99" spans="1:3" x14ac:dyDescent="0.25">
      <c r="A99" s="1"/>
      <c r="B99" s="3"/>
      <c r="C99" s="7"/>
    </row>
    <row r="100" spans="1:3" x14ac:dyDescent="0.25">
      <c r="A100" s="1"/>
      <c r="B100" s="3"/>
      <c r="C100" s="7"/>
    </row>
    <row r="101" spans="1:3" x14ac:dyDescent="0.25">
      <c r="A101" s="1"/>
      <c r="B101" s="3"/>
      <c r="C101" s="7"/>
    </row>
    <row r="102" spans="1:3" x14ac:dyDescent="0.25">
      <c r="A102" s="1"/>
      <c r="B102" s="3"/>
      <c r="C102" s="7"/>
    </row>
    <row r="103" spans="1:3" x14ac:dyDescent="0.25">
      <c r="A103" s="1"/>
      <c r="B103" s="3"/>
      <c r="C103" s="7"/>
    </row>
    <row r="104" spans="1:3" x14ac:dyDescent="0.25">
      <c r="A104" s="1"/>
      <c r="B104" s="3"/>
      <c r="C104" s="7"/>
    </row>
    <row r="105" spans="1:3" x14ac:dyDescent="0.25">
      <c r="A105" s="1"/>
      <c r="B105" s="3"/>
      <c r="C105" s="7"/>
    </row>
    <row r="106" spans="1:3" x14ac:dyDescent="0.25">
      <c r="A106" s="1"/>
      <c r="B106" s="3"/>
      <c r="C106" s="7"/>
    </row>
    <row r="107" spans="1:3" x14ac:dyDescent="0.25">
      <c r="A107" s="1"/>
      <c r="B107" s="3"/>
      <c r="C107" s="7"/>
    </row>
    <row r="108" spans="1:3" x14ac:dyDescent="0.25">
      <c r="A108" s="1"/>
      <c r="B108" s="3"/>
      <c r="C108" s="7"/>
    </row>
    <row r="109" spans="1:3" x14ac:dyDescent="0.25">
      <c r="A109" s="1"/>
      <c r="B109" s="3"/>
      <c r="C109" s="7"/>
    </row>
    <row r="110" spans="1:3" x14ac:dyDescent="0.25">
      <c r="A110" s="1"/>
      <c r="B110" s="3"/>
      <c r="C110" s="7"/>
    </row>
    <row r="111" spans="1:3" x14ac:dyDescent="0.25">
      <c r="A111" s="1"/>
      <c r="B111" s="3"/>
      <c r="C111" s="7"/>
    </row>
    <row r="112" spans="1:3" x14ac:dyDescent="0.25">
      <c r="A112" s="1"/>
      <c r="B112" s="3"/>
      <c r="C112" s="7"/>
    </row>
    <row r="113" spans="1:3" x14ac:dyDescent="0.25">
      <c r="A113" s="1"/>
      <c r="B113" s="3"/>
      <c r="C113" s="7"/>
    </row>
    <row r="114" spans="1:3" x14ac:dyDescent="0.25">
      <c r="A114" s="1"/>
      <c r="B114" s="3"/>
      <c r="C114" s="7"/>
    </row>
    <row r="115" spans="1:3" x14ac:dyDescent="0.25">
      <c r="A115" s="1"/>
      <c r="B115" s="3"/>
      <c r="C115" s="7"/>
    </row>
    <row r="116" spans="1:3" x14ac:dyDescent="0.25">
      <c r="A116" s="1"/>
      <c r="B116" s="3"/>
      <c r="C116" s="7"/>
    </row>
  </sheetData>
  <autoFilter ref="C8:C16">
    <sortState ref="A9:P16">
      <sortCondition descending="1" ref="C8:C16"/>
    </sortState>
  </autoFilter>
  <mergeCells count="8">
    <mergeCell ref="A4:B4"/>
    <mergeCell ref="A6:P6"/>
    <mergeCell ref="E1:H1"/>
    <mergeCell ref="E2:H2"/>
    <mergeCell ref="I1:L1"/>
    <mergeCell ref="I2:L2"/>
    <mergeCell ref="M1:P1"/>
    <mergeCell ref="M2:P2"/>
  </mergeCells>
  <printOptions horizontalCentered="1"/>
  <pageMargins left="0.25" right="0.25" top="0.75" bottom="0.75" header="0.5" footer="0.5"/>
  <pageSetup paperSize="5" scale="90" orientation="landscape" r:id="rId1"/>
  <headerFooter alignWithMargins="0">
    <oddHeader>&amp;L&amp;8Appendix C - Inventory Summary - NRC FY 2014</oddHeader>
    <oddFooter>&amp;C&amp;8Page 1 of 2&amp;R&amp;8-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workbookViewId="0">
      <selection activeCell="K12" sqref="K12"/>
    </sheetView>
  </sheetViews>
  <sheetFormatPr defaultRowHeight="13.2" x14ac:dyDescent="0.25"/>
  <cols>
    <col min="1" max="1" width="5.88671875" bestFit="1" customWidth="1"/>
    <col min="2" max="2" width="37" style="4" bestFit="1" customWidth="1"/>
    <col min="3" max="3" width="14.88671875" bestFit="1" customWidth="1"/>
    <col min="4" max="4" width="10.33203125" customWidth="1"/>
    <col min="5" max="5" width="13.44140625" bestFit="1" customWidth="1"/>
    <col min="8" max="8" width="12.33203125" bestFit="1" customWidth="1"/>
    <col min="9" max="9" width="10.44140625" customWidth="1"/>
  </cols>
  <sheetData>
    <row r="1" spans="1:11" x14ac:dyDescent="0.25">
      <c r="A1" s="31"/>
      <c r="B1" s="32"/>
      <c r="C1" s="31"/>
      <c r="D1" s="22"/>
      <c r="E1" s="76" t="s">
        <v>31</v>
      </c>
      <c r="F1" s="77"/>
      <c r="G1" s="77"/>
      <c r="H1" s="77"/>
      <c r="I1" s="77"/>
      <c r="J1" s="77"/>
      <c r="K1" s="78"/>
    </row>
    <row r="2" spans="1:11" ht="13.8" thickBot="1" x14ac:dyDescent="0.3">
      <c r="A2" s="31"/>
      <c r="B2" s="32"/>
      <c r="C2" s="31"/>
      <c r="D2" s="22"/>
      <c r="E2" s="76" t="s">
        <v>29</v>
      </c>
      <c r="F2" s="77"/>
      <c r="G2" s="77"/>
      <c r="H2" s="77"/>
      <c r="I2" s="77"/>
      <c r="J2" s="77"/>
      <c r="K2" s="78"/>
    </row>
    <row r="3" spans="1:11" s="4" customFormat="1" ht="26.4" x14ac:dyDescent="0.25">
      <c r="A3" s="41"/>
      <c r="B3" s="42"/>
      <c r="C3" s="42" t="s">
        <v>6</v>
      </c>
      <c r="D3" s="44" t="s">
        <v>13</v>
      </c>
      <c r="E3" s="23" t="s">
        <v>7</v>
      </c>
      <c r="F3" s="24" t="s">
        <v>8</v>
      </c>
      <c r="G3" s="25" t="s">
        <v>14</v>
      </c>
      <c r="H3" s="24" t="s">
        <v>9</v>
      </c>
      <c r="I3" s="25" t="s">
        <v>32</v>
      </c>
      <c r="J3" s="24" t="s">
        <v>10</v>
      </c>
      <c r="K3" s="26" t="s">
        <v>11</v>
      </c>
    </row>
    <row r="4" spans="1:11" x14ac:dyDescent="0.25">
      <c r="A4" s="74" t="s">
        <v>12</v>
      </c>
      <c r="B4" s="75"/>
      <c r="C4" s="11"/>
      <c r="D4" s="10"/>
      <c r="E4" s="27"/>
      <c r="F4" s="28"/>
      <c r="G4" s="28"/>
      <c r="H4" s="28"/>
      <c r="I4" s="28"/>
      <c r="J4" s="28"/>
      <c r="K4" s="29"/>
    </row>
    <row r="5" spans="1:11" ht="27" thickBot="1" x14ac:dyDescent="0.3">
      <c r="A5" s="58" t="s">
        <v>45</v>
      </c>
      <c r="B5" s="40" t="s">
        <v>48</v>
      </c>
      <c r="C5" s="47">
        <v>3690577.6</v>
      </c>
      <c r="D5" s="45">
        <f t="shared" ref="D5" si="0">C5/108859137.04</f>
        <v>3.3902322766383011E-2</v>
      </c>
      <c r="E5" s="56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7">
        <v>0</v>
      </c>
    </row>
    <row r="6" spans="1:11" x14ac:dyDescent="0.25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x14ac:dyDescent="0.25">
      <c r="A7" s="30" t="s">
        <v>5</v>
      </c>
      <c r="B7" s="32"/>
      <c r="C7" s="31"/>
      <c r="D7" s="31"/>
      <c r="E7" s="31"/>
      <c r="F7" s="31"/>
      <c r="G7" s="31"/>
      <c r="H7" s="31"/>
      <c r="I7" s="31"/>
      <c r="J7" s="31"/>
      <c r="K7" s="33"/>
    </row>
    <row r="8" spans="1:11" ht="26.4" x14ac:dyDescent="0.25">
      <c r="A8" s="5" t="s">
        <v>2</v>
      </c>
      <c r="B8" s="46" t="s">
        <v>34</v>
      </c>
      <c r="C8" s="47">
        <v>89817300.430000007</v>
      </c>
      <c r="D8" s="45">
        <f t="shared" ref="D8:D16" si="1">C8/108859137.04</f>
        <v>0.82507819621054757</v>
      </c>
      <c r="E8" s="17">
        <f>1932852.54/C8</f>
        <v>2.1519824474199017E-2</v>
      </c>
      <c r="F8" s="18">
        <f>1662852.54/C8</f>
        <v>1.8513722100743393E-2</v>
      </c>
      <c r="G8" s="18">
        <f>1732852.54/C8</f>
        <v>1.9293081975342997E-2</v>
      </c>
      <c r="H8" s="18">
        <v>0</v>
      </c>
      <c r="I8" s="18">
        <v>0</v>
      </c>
      <c r="J8" s="18">
        <v>0</v>
      </c>
      <c r="K8" s="9">
        <f>1527023/C8</f>
        <v>1.7001435054153073E-2</v>
      </c>
    </row>
    <row r="9" spans="1:11" ht="26.4" x14ac:dyDescent="0.25">
      <c r="A9" s="49" t="s">
        <v>39</v>
      </c>
      <c r="B9" s="51" t="s">
        <v>40</v>
      </c>
      <c r="C9" s="47">
        <v>10380285.300000001</v>
      </c>
      <c r="D9" s="45">
        <f t="shared" si="1"/>
        <v>9.5355204737529675E-2</v>
      </c>
      <c r="E9" s="52">
        <f>1026899/C9</f>
        <v>9.8927820413568013E-2</v>
      </c>
      <c r="F9" s="53">
        <f>226899/C9</f>
        <v>2.1858647757976361E-2</v>
      </c>
      <c r="G9" s="53">
        <f>1026899/C9</f>
        <v>9.8927820413568013E-2</v>
      </c>
      <c r="H9" s="53">
        <v>0</v>
      </c>
      <c r="I9" s="53">
        <f>59000/C9</f>
        <v>5.6838514833498837E-3</v>
      </c>
      <c r="J9" s="53">
        <v>0</v>
      </c>
      <c r="K9" s="54">
        <f>2972649.44/C9</f>
        <v>0.28637454116988476</v>
      </c>
    </row>
    <row r="10" spans="1:11" x14ac:dyDescent="0.25">
      <c r="A10" s="5" t="s">
        <v>3</v>
      </c>
      <c r="B10" s="39" t="s">
        <v>35</v>
      </c>
      <c r="C10" s="47">
        <v>9812807.4100000001</v>
      </c>
      <c r="D10" s="45">
        <f t="shared" si="1"/>
        <v>9.0142248752112644E-2</v>
      </c>
      <c r="E10" s="17">
        <f>796722.93/C10</f>
        <v>8.1192149882415771E-2</v>
      </c>
      <c r="F10" s="18">
        <f>592712.3/C10</f>
        <v>6.0401908978258451E-2</v>
      </c>
      <c r="G10" s="18">
        <f>722712.3/C10</f>
        <v>7.3649901583057772E-2</v>
      </c>
      <c r="H10" s="18">
        <f>280000/C10</f>
        <v>2.853413791802931E-2</v>
      </c>
      <c r="I10" s="18">
        <f>280000/C10</f>
        <v>2.853413791802931E-2</v>
      </c>
      <c r="J10" s="18">
        <f>58000/C10</f>
        <v>5.910642854448929E-3</v>
      </c>
      <c r="K10" s="9">
        <f>279067/C10</f>
        <v>2.843905809418102E-2</v>
      </c>
    </row>
    <row r="11" spans="1:11" ht="26.4" x14ac:dyDescent="0.25">
      <c r="A11" s="49" t="s">
        <v>41</v>
      </c>
      <c r="B11" s="39" t="s">
        <v>42</v>
      </c>
      <c r="C11" s="47">
        <v>6982786.5700000003</v>
      </c>
      <c r="D11" s="45">
        <f t="shared" si="1"/>
        <v>6.4145158228052029E-2</v>
      </c>
      <c r="E11" s="17">
        <f>3140403.15/C11</f>
        <v>0.44973494729053415</v>
      </c>
      <c r="F11" s="18">
        <f>3140403.15/C11</f>
        <v>0.44973494729053415</v>
      </c>
      <c r="G11" s="18">
        <f>477919.15/C11</f>
        <v>6.8442468520128349E-2</v>
      </c>
      <c r="H11" s="18">
        <v>0</v>
      </c>
      <c r="I11" s="18">
        <v>0</v>
      </c>
      <c r="J11" s="18">
        <v>0</v>
      </c>
      <c r="K11" s="9">
        <v>0</v>
      </c>
    </row>
    <row r="12" spans="1:11" x14ac:dyDescent="0.25">
      <c r="A12" s="5" t="s">
        <v>4</v>
      </c>
      <c r="B12" s="39" t="s">
        <v>36</v>
      </c>
      <c r="C12" s="47">
        <v>5451155.5899999999</v>
      </c>
      <c r="D12" s="45">
        <f t="shared" si="1"/>
        <v>5.0075315111096155E-2</v>
      </c>
      <c r="E12" s="17">
        <f>5187508.92/C12</f>
        <v>0.95163471934581123</v>
      </c>
      <c r="F12" s="18">
        <f>1938049.49/C12</f>
        <v>0.35553002624898478</v>
      </c>
      <c r="G12" s="18">
        <f>4842078.92/C12</f>
        <v>0.88826650424043396</v>
      </c>
      <c r="H12" s="18">
        <f>99790.62/C12</f>
        <v>1.8306323925712787E-2</v>
      </c>
      <c r="I12" s="18">
        <f>81276/C12</f>
        <v>1.4909866111526639E-2</v>
      </c>
      <c r="J12" s="18">
        <f>145650/C12</f>
        <v>2.671910526039489E-2</v>
      </c>
      <c r="K12" s="9">
        <f>2907079.39/C12</f>
        <v>0.53329598504452158</v>
      </c>
    </row>
    <row r="13" spans="1:11" ht="26.4" x14ac:dyDescent="0.25">
      <c r="A13" s="48" t="s">
        <v>0</v>
      </c>
      <c r="B13" s="39" t="s">
        <v>37</v>
      </c>
      <c r="C13" s="47">
        <v>3949620.07</v>
      </c>
      <c r="D13" s="45">
        <f t="shared" si="1"/>
        <v>3.6281934409866969E-2</v>
      </c>
      <c r="E13" s="62">
        <f>672788.51/C13</f>
        <v>0.17034258943291222</v>
      </c>
      <c r="F13" s="18">
        <f>422788.51/C13</f>
        <v>0.10704536196059992</v>
      </c>
      <c r="G13" s="62">
        <f>422788.51/C13</f>
        <v>0.10704536196059992</v>
      </c>
      <c r="H13" s="18">
        <v>0</v>
      </c>
      <c r="I13" s="18">
        <v>0</v>
      </c>
      <c r="J13" s="18">
        <v>0</v>
      </c>
      <c r="K13" s="45">
        <f>422788.51/C13</f>
        <v>0.10704536196059992</v>
      </c>
    </row>
    <row r="14" spans="1:11" ht="26.4" x14ac:dyDescent="0.25">
      <c r="A14" s="5" t="s">
        <v>43</v>
      </c>
      <c r="B14" s="39" t="s">
        <v>44</v>
      </c>
      <c r="C14" s="47">
        <v>3742434.66</v>
      </c>
      <c r="D14" s="45">
        <f t="shared" si="1"/>
        <v>3.4378691231263872E-2</v>
      </c>
      <c r="E14" s="17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9">
        <f>52549.82/C14</f>
        <v>1.404161322084378E-2</v>
      </c>
    </row>
    <row r="15" spans="1:11" ht="39.6" x14ac:dyDescent="0.25">
      <c r="A15" s="49" t="s">
        <v>46</v>
      </c>
      <c r="B15" s="51" t="s">
        <v>47</v>
      </c>
      <c r="C15" s="60">
        <v>3249664</v>
      </c>
      <c r="D15" s="45">
        <f t="shared" si="1"/>
        <v>2.9852009563569471E-2</v>
      </c>
      <c r="E15" s="17">
        <f>3219664/C15</f>
        <v>0.99076827635103193</v>
      </c>
      <c r="F15" s="18">
        <f>3219664/C15</f>
        <v>0.99076827635103193</v>
      </c>
      <c r="G15" s="18">
        <f>3219664/C15</f>
        <v>0.99076827635103193</v>
      </c>
      <c r="H15" s="18">
        <f>3219664/C15</f>
        <v>0.99076827635103193</v>
      </c>
      <c r="I15" s="18">
        <f>3219664/C15</f>
        <v>0.99076827635103193</v>
      </c>
      <c r="J15" s="18">
        <v>0</v>
      </c>
      <c r="K15" s="9">
        <v>0</v>
      </c>
    </row>
    <row r="16" spans="1:11" ht="39.6" x14ac:dyDescent="0.25">
      <c r="A16" s="48" t="s">
        <v>1</v>
      </c>
      <c r="B16" s="39" t="s">
        <v>38</v>
      </c>
      <c r="C16" s="47">
        <v>2579571.12</v>
      </c>
      <c r="D16" s="45">
        <f t="shared" si="1"/>
        <v>2.3696413458175251E-2</v>
      </c>
      <c r="E16" s="17">
        <f>443612.35/C16</f>
        <v>0.17197135855668905</v>
      </c>
      <c r="F16" s="18">
        <f>2484346/C16</f>
        <v>0.96308490226856003</v>
      </c>
      <c r="G16" s="18">
        <f>443612.35/C16</f>
        <v>0.17197135855668905</v>
      </c>
      <c r="H16" s="18">
        <f>207099.83/C16</f>
        <v>8.028459785206464E-2</v>
      </c>
      <c r="I16" s="18">
        <f>92573.27/C16</f>
        <v>3.5887078003881516E-2</v>
      </c>
      <c r="J16" s="18">
        <v>0</v>
      </c>
      <c r="K16" s="45">
        <f>179402.01/C16</f>
        <v>6.9547223803622049E-2</v>
      </c>
    </row>
    <row r="17" spans="1:3" x14ac:dyDescent="0.25">
      <c r="A17" s="1"/>
      <c r="B17" s="3"/>
      <c r="C17" s="2"/>
    </row>
    <row r="18" spans="1:3" x14ac:dyDescent="0.25">
      <c r="A18" s="1"/>
      <c r="B18" s="3"/>
      <c r="C18" s="2"/>
    </row>
    <row r="19" spans="1:3" x14ac:dyDescent="0.25">
      <c r="A19" s="1"/>
      <c r="B19" s="3"/>
      <c r="C19" s="2"/>
    </row>
    <row r="20" spans="1:3" x14ac:dyDescent="0.25">
      <c r="A20" s="1"/>
      <c r="B20" s="3"/>
      <c r="C20" s="2"/>
    </row>
    <row r="21" spans="1:3" x14ac:dyDescent="0.25">
      <c r="A21" s="1"/>
      <c r="B21" s="3"/>
      <c r="C21" s="2"/>
    </row>
    <row r="22" spans="1:3" x14ac:dyDescent="0.25">
      <c r="A22" s="1"/>
      <c r="B22" s="3"/>
      <c r="C22" s="2"/>
    </row>
    <row r="23" spans="1:3" x14ac:dyDescent="0.25">
      <c r="A23" s="1"/>
      <c r="B23" s="3"/>
      <c r="C23" s="2"/>
    </row>
    <row r="24" spans="1:3" x14ac:dyDescent="0.25">
      <c r="A24" s="1"/>
      <c r="B24" s="3"/>
      <c r="C24" s="2"/>
    </row>
    <row r="25" spans="1:3" x14ac:dyDescent="0.25">
      <c r="A25" s="1"/>
      <c r="B25" s="3"/>
      <c r="C25" s="2"/>
    </row>
    <row r="26" spans="1:3" x14ac:dyDescent="0.25">
      <c r="A26" s="1"/>
      <c r="B26" s="3"/>
      <c r="C26" s="2"/>
    </row>
    <row r="27" spans="1:3" x14ac:dyDescent="0.25">
      <c r="A27" s="1"/>
      <c r="B27" s="3"/>
      <c r="C27" s="2"/>
    </row>
    <row r="28" spans="1:3" x14ac:dyDescent="0.25">
      <c r="A28" s="1"/>
      <c r="B28" s="3"/>
      <c r="C28" s="2"/>
    </row>
    <row r="29" spans="1:3" x14ac:dyDescent="0.25">
      <c r="A29" s="1"/>
      <c r="B29" s="3"/>
      <c r="C29" s="2"/>
    </row>
    <row r="30" spans="1:3" x14ac:dyDescent="0.25">
      <c r="A30" s="1"/>
      <c r="B30" s="3"/>
      <c r="C30" s="2"/>
    </row>
    <row r="31" spans="1:3" x14ac:dyDescent="0.25">
      <c r="A31" s="1"/>
      <c r="B31" s="3"/>
      <c r="C31" s="2"/>
    </row>
    <row r="32" spans="1:3" x14ac:dyDescent="0.25">
      <c r="A32" s="1"/>
      <c r="B32" s="3"/>
      <c r="C32" s="2"/>
    </row>
    <row r="33" spans="1:3" x14ac:dyDescent="0.25">
      <c r="A33" s="1"/>
      <c r="B33" s="3"/>
      <c r="C33" s="2"/>
    </row>
    <row r="34" spans="1:3" x14ac:dyDescent="0.25">
      <c r="A34" s="1"/>
      <c r="B34" s="3"/>
      <c r="C34" s="2"/>
    </row>
    <row r="35" spans="1:3" x14ac:dyDescent="0.25">
      <c r="A35" s="1"/>
      <c r="B35" s="3"/>
      <c r="C35" s="2"/>
    </row>
    <row r="36" spans="1:3" x14ac:dyDescent="0.25">
      <c r="A36" s="1"/>
      <c r="B36" s="3"/>
      <c r="C36" s="2"/>
    </row>
    <row r="37" spans="1:3" x14ac:dyDescent="0.25">
      <c r="A37" s="1"/>
      <c r="B37" s="3"/>
      <c r="C37" s="2"/>
    </row>
    <row r="38" spans="1:3" x14ac:dyDescent="0.25">
      <c r="A38" s="1"/>
      <c r="B38" s="3"/>
      <c r="C38" s="2"/>
    </row>
    <row r="39" spans="1:3" x14ac:dyDescent="0.25">
      <c r="A39" s="1"/>
      <c r="B39" s="3"/>
      <c r="C39" s="2"/>
    </row>
    <row r="40" spans="1:3" x14ac:dyDescent="0.25">
      <c r="A40" s="1"/>
      <c r="B40" s="3"/>
      <c r="C40" s="2"/>
    </row>
    <row r="41" spans="1:3" x14ac:dyDescent="0.25">
      <c r="A41" s="1"/>
      <c r="B41" s="3"/>
      <c r="C41" s="2"/>
    </row>
    <row r="42" spans="1:3" x14ac:dyDescent="0.25">
      <c r="A42" s="1"/>
      <c r="B42" s="3"/>
      <c r="C42" s="2"/>
    </row>
    <row r="43" spans="1:3" x14ac:dyDescent="0.25">
      <c r="A43" s="1"/>
      <c r="B43" s="3"/>
      <c r="C43" s="2"/>
    </row>
    <row r="44" spans="1:3" x14ac:dyDescent="0.25">
      <c r="A44" s="1"/>
      <c r="B44" s="3"/>
      <c r="C44" s="2"/>
    </row>
    <row r="45" spans="1:3" x14ac:dyDescent="0.25">
      <c r="A45" s="1"/>
      <c r="B45" s="3"/>
      <c r="C45" s="2"/>
    </row>
    <row r="46" spans="1:3" x14ac:dyDescent="0.25">
      <c r="A46" s="1"/>
      <c r="B46" s="3"/>
      <c r="C46" s="2"/>
    </row>
    <row r="47" spans="1:3" x14ac:dyDescent="0.25">
      <c r="A47" s="1"/>
      <c r="B47" s="3"/>
      <c r="C47" s="2"/>
    </row>
    <row r="48" spans="1:3" x14ac:dyDescent="0.25">
      <c r="A48" s="1"/>
      <c r="B48" s="3"/>
      <c r="C48" s="2"/>
    </row>
    <row r="49" spans="1:3" x14ac:dyDescent="0.25">
      <c r="A49" s="1"/>
      <c r="B49" s="3"/>
      <c r="C49" s="2"/>
    </row>
    <row r="50" spans="1:3" x14ac:dyDescent="0.25">
      <c r="A50" s="1"/>
      <c r="B50" s="3"/>
      <c r="C50" s="2"/>
    </row>
    <row r="51" spans="1:3" x14ac:dyDescent="0.25">
      <c r="A51" s="1"/>
      <c r="B51" s="3"/>
      <c r="C51" s="2"/>
    </row>
    <row r="52" spans="1:3" x14ac:dyDescent="0.25">
      <c r="A52" s="1"/>
      <c r="B52" s="3"/>
      <c r="C52" s="2"/>
    </row>
    <row r="53" spans="1:3" x14ac:dyDescent="0.25">
      <c r="A53" s="1"/>
      <c r="B53" s="3"/>
      <c r="C53" s="2"/>
    </row>
    <row r="54" spans="1:3" x14ac:dyDescent="0.25">
      <c r="A54" s="1"/>
      <c r="B54" s="3"/>
      <c r="C54" s="2"/>
    </row>
    <row r="55" spans="1:3" x14ac:dyDescent="0.25">
      <c r="A55" s="1"/>
      <c r="B55" s="3"/>
      <c r="C55" s="2"/>
    </row>
    <row r="56" spans="1:3" x14ac:dyDescent="0.25">
      <c r="A56" s="1"/>
      <c r="B56" s="3"/>
      <c r="C56" s="2"/>
    </row>
    <row r="57" spans="1:3" x14ac:dyDescent="0.25">
      <c r="A57" s="1"/>
      <c r="B57" s="3"/>
      <c r="C57" s="2"/>
    </row>
    <row r="58" spans="1:3" x14ac:dyDescent="0.25">
      <c r="A58" s="1"/>
      <c r="B58" s="3"/>
      <c r="C58" s="2"/>
    </row>
    <row r="59" spans="1:3" x14ac:dyDescent="0.25">
      <c r="A59" s="1"/>
      <c r="B59" s="3"/>
      <c r="C59" s="2"/>
    </row>
    <row r="60" spans="1:3" x14ac:dyDescent="0.25">
      <c r="A60" s="1"/>
      <c r="B60" s="3"/>
      <c r="C60" s="2"/>
    </row>
    <row r="61" spans="1:3" x14ac:dyDescent="0.25">
      <c r="A61" s="1"/>
      <c r="B61" s="3"/>
      <c r="C61" s="2"/>
    </row>
    <row r="62" spans="1:3" x14ac:dyDescent="0.25">
      <c r="A62" s="1"/>
      <c r="B62" s="3"/>
      <c r="C62" s="2"/>
    </row>
    <row r="63" spans="1:3" x14ac:dyDescent="0.25">
      <c r="A63" s="1"/>
      <c r="B63" s="3"/>
      <c r="C63" s="2"/>
    </row>
    <row r="64" spans="1:3" x14ac:dyDescent="0.25">
      <c r="A64" s="1"/>
      <c r="B64" s="3"/>
      <c r="C64" s="2"/>
    </row>
    <row r="65" spans="1:3" x14ac:dyDescent="0.25">
      <c r="A65" s="1"/>
      <c r="B65" s="3"/>
      <c r="C65" s="2"/>
    </row>
    <row r="66" spans="1:3" x14ac:dyDescent="0.25">
      <c r="A66" s="1"/>
      <c r="B66" s="3"/>
      <c r="C66" s="2"/>
    </row>
    <row r="67" spans="1:3" x14ac:dyDescent="0.25">
      <c r="A67" s="1"/>
      <c r="B67" s="3"/>
      <c r="C67" s="2"/>
    </row>
    <row r="68" spans="1:3" x14ac:dyDescent="0.25">
      <c r="A68" s="1"/>
      <c r="B68" s="3"/>
      <c r="C68" s="2"/>
    </row>
    <row r="69" spans="1:3" x14ac:dyDescent="0.25">
      <c r="A69" s="1"/>
      <c r="B69" s="3"/>
      <c r="C69" s="2"/>
    </row>
    <row r="70" spans="1:3" x14ac:dyDescent="0.25">
      <c r="A70" s="1"/>
      <c r="B70" s="3"/>
      <c r="C70" s="2"/>
    </row>
    <row r="71" spans="1:3" x14ac:dyDescent="0.25">
      <c r="A71" s="1"/>
      <c r="B71" s="3"/>
      <c r="C71" s="2"/>
    </row>
    <row r="72" spans="1:3" x14ac:dyDescent="0.25">
      <c r="A72" s="1"/>
      <c r="B72" s="3"/>
      <c r="C72" s="2"/>
    </row>
    <row r="73" spans="1:3" x14ac:dyDescent="0.25">
      <c r="A73" s="1"/>
      <c r="B73" s="3"/>
      <c r="C73" s="2"/>
    </row>
    <row r="74" spans="1:3" x14ac:dyDescent="0.25">
      <c r="A74" s="1"/>
      <c r="B74" s="3"/>
      <c r="C74" s="2"/>
    </row>
    <row r="75" spans="1:3" x14ac:dyDescent="0.25">
      <c r="A75" s="1"/>
      <c r="B75" s="3"/>
      <c r="C75" s="2"/>
    </row>
    <row r="76" spans="1:3" x14ac:dyDescent="0.25">
      <c r="A76" s="1"/>
      <c r="B76" s="3"/>
      <c r="C76" s="2"/>
    </row>
    <row r="77" spans="1:3" x14ac:dyDescent="0.25">
      <c r="A77" s="1"/>
      <c r="B77" s="3"/>
      <c r="C77" s="2"/>
    </row>
    <row r="78" spans="1:3" x14ac:dyDescent="0.25">
      <c r="A78" s="1"/>
      <c r="B78" s="3"/>
      <c r="C78" s="2"/>
    </row>
    <row r="79" spans="1:3" x14ac:dyDescent="0.25">
      <c r="A79" s="1"/>
      <c r="B79" s="3"/>
      <c r="C79" s="2"/>
    </row>
    <row r="80" spans="1:3" x14ac:dyDescent="0.25">
      <c r="A80" s="1"/>
      <c r="B80" s="3"/>
      <c r="C80" s="2"/>
    </row>
    <row r="81" spans="1:3" x14ac:dyDescent="0.25">
      <c r="A81" s="1"/>
      <c r="B81" s="3"/>
      <c r="C81" s="2"/>
    </row>
    <row r="82" spans="1:3" x14ac:dyDescent="0.25">
      <c r="A82" s="1"/>
      <c r="B82" s="3"/>
      <c r="C82" s="2"/>
    </row>
    <row r="83" spans="1:3" x14ac:dyDescent="0.25">
      <c r="A83" s="1"/>
      <c r="B83" s="3"/>
      <c r="C83" s="2"/>
    </row>
    <row r="84" spans="1:3" x14ac:dyDescent="0.25">
      <c r="A84" s="1"/>
      <c r="B84" s="3"/>
      <c r="C84" s="2"/>
    </row>
    <row r="85" spans="1:3" x14ac:dyDescent="0.25">
      <c r="A85" s="1"/>
      <c r="B85" s="3"/>
      <c r="C85" s="2"/>
    </row>
    <row r="86" spans="1:3" x14ac:dyDescent="0.25">
      <c r="A86" s="1"/>
      <c r="B86" s="3"/>
      <c r="C86" s="2"/>
    </row>
    <row r="87" spans="1:3" x14ac:dyDescent="0.25">
      <c r="A87" s="1"/>
      <c r="B87" s="3"/>
      <c r="C87" s="2"/>
    </row>
    <row r="88" spans="1:3" x14ac:dyDescent="0.25">
      <c r="A88" s="1"/>
      <c r="B88" s="3"/>
      <c r="C88" s="2"/>
    </row>
    <row r="89" spans="1:3" x14ac:dyDescent="0.25">
      <c r="A89" s="1"/>
      <c r="B89" s="3"/>
      <c r="C89" s="2"/>
    </row>
    <row r="90" spans="1:3" x14ac:dyDescent="0.25">
      <c r="A90" s="1"/>
      <c r="B90" s="3"/>
      <c r="C90" s="2"/>
    </row>
    <row r="91" spans="1:3" x14ac:dyDescent="0.25">
      <c r="A91" s="1"/>
      <c r="B91" s="3"/>
      <c r="C91" s="2"/>
    </row>
    <row r="92" spans="1:3" x14ac:dyDescent="0.25">
      <c r="A92" s="1"/>
      <c r="B92" s="3"/>
      <c r="C92" s="2"/>
    </row>
    <row r="93" spans="1:3" x14ac:dyDescent="0.25">
      <c r="A93" s="1"/>
      <c r="B93" s="3"/>
      <c r="C93" s="2"/>
    </row>
    <row r="94" spans="1:3" x14ac:dyDescent="0.25">
      <c r="A94" s="1"/>
      <c r="B94" s="3"/>
      <c r="C94" s="2"/>
    </row>
    <row r="95" spans="1:3" x14ac:dyDescent="0.25">
      <c r="A95" s="1"/>
      <c r="B95" s="3"/>
      <c r="C95" s="2"/>
    </row>
    <row r="96" spans="1:3" x14ac:dyDescent="0.25">
      <c r="A96" s="1"/>
      <c r="B96" s="3"/>
      <c r="C96" s="2"/>
    </row>
    <row r="97" spans="1:3" x14ac:dyDescent="0.25">
      <c r="A97" s="1"/>
      <c r="B97" s="3"/>
      <c r="C97" s="2"/>
    </row>
    <row r="98" spans="1:3" x14ac:dyDescent="0.25">
      <c r="A98" s="1"/>
      <c r="B98" s="3"/>
      <c r="C98" s="2"/>
    </row>
    <row r="99" spans="1:3" x14ac:dyDescent="0.25">
      <c r="A99" s="1"/>
      <c r="B99" s="3"/>
      <c r="C99" s="2"/>
    </row>
    <row r="100" spans="1:3" x14ac:dyDescent="0.25">
      <c r="A100" s="1"/>
      <c r="B100" s="3"/>
      <c r="C100" s="2"/>
    </row>
    <row r="101" spans="1:3" x14ac:dyDescent="0.25">
      <c r="A101" s="1"/>
      <c r="B101" s="3"/>
      <c r="C101" s="2"/>
    </row>
    <row r="102" spans="1:3" x14ac:dyDescent="0.25">
      <c r="A102" s="1"/>
      <c r="B102" s="3"/>
      <c r="C102" s="2"/>
    </row>
    <row r="103" spans="1:3" x14ac:dyDescent="0.25">
      <c r="A103" s="1"/>
      <c r="B103" s="3"/>
      <c r="C103" s="2"/>
    </row>
    <row r="104" spans="1:3" x14ac:dyDescent="0.25">
      <c r="A104" s="1"/>
      <c r="B104" s="3"/>
      <c r="C104" s="2"/>
    </row>
    <row r="105" spans="1:3" x14ac:dyDescent="0.25">
      <c r="A105" s="1"/>
      <c r="B105" s="3"/>
      <c r="C105" s="2"/>
    </row>
    <row r="106" spans="1:3" x14ac:dyDescent="0.25">
      <c r="A106" s="1"/>
      <c r="B106" s="3"/>
      <c r="C106" s="2"/>
    </row>
    <row r="107" spans="1:3" x14ac:dyDescent="0.25">
      <c r="A107" s="1"/>
      <c r="B107" s="3"/>
      <c r="C107" s="2"/>
    </row>
    <row r="108" spans="1:3" x14ac:dyDescent="0.25">
      <c r="A108" s="1"/>
      <c r="B108" s="3"/>
      <c r="C108" s="2"/>
    </row>
    <row r="109" spans="1:3" x14ac:dyDescent="0.25">
      <c r="A109" s="1"/>
      <c r="B109" s="3"/>
      <c r="C109" s="2"/>
    </row>
    <row r="110" spans="1:3" x14ac:dyDescent="0.25">
      <c r="A110" s="1"/>
      <c r="B110" s="3"/>
      <c r="C110" s="2"/>
    </row>
    <row r="111" spans="1:3" x14ac:dyDescent="0.25">
      <c r="A111" s="1"/>
      <c r="B111" s="3"/>
      <c r="C111" s="2"/>
    </row>
    <row r="112" spans="1:3" x14ac:dyDescent="0.25">
      <c r="A112" s="1"/>
      <c r="B112" s="3"/>
      <c r="C112" s="2"/>
    </row>
    <row r="113" spans="1:3" x14ac:dyDescent="0.25">
      <c r="A113" s="1"/>
      <c r="B113" s="3"/>
      <c r="C113" s="2"/>
    </row>
    <row r="114" spans="1:3" x14ac:dyDescent="0.25">
      <c r="A114" s="1"/>
      <c r="B114" s="3"/>
      <c r="C114" s="2"/>
    </row>
    <row r="115" spans="1:3" x14ac:dyDescent="0.25">
      <c r="A115" s="1"/>
      <c r="B115" s="3"/>
      <c r="C115" s="2"/>
    </row>
    <row r="116" spans="1:3" x14ac:dyDescent="0.25">
      <c r="A116" s="1"/>
      <c r="B116" s="3"/>
      <c r="C116" s="2"/>
    </row>
  </sheetData>
  <autoFilter ref="C8:C16">
    <sortState ref="A9:K16">
      <sortCondition descending="1" ref="C8:C16"/>
    </sortState>
  </autoFilter>
  <sortState ref="A2:E110">
    <sortCondition descending="1" ref="C2:C110"/>
    <sortCondition ref="A2:A110"/>
  </sortState>
  <mergeCells count="4">
    <mergeCell ref="A4:B4"/>
    <mergeCell ref="E1:K1"/>
    <mergeCell ref="E2:K2"/>
    <mergeCell ref="A6:K6"/>
  </mergeCells>
  <printOptions horizontalCentered="1"/>
  <pageMargins left="0.25" right="0.25" top="0.75" bottom="0.75" header="0.5" footer="0.5"/>
  <pageSetup paperSize="5" scale="95" orientation="landscape" horizontalDpi="300" verticalDpi="300" r:id="rId1"/>
  <headerFooter alignWithMargins="0">
    <oddHeader>&amp;L&amp;8Appendix C: Inventory Summary - NRC FY 2014</oddHeader>
    <oddFooter>&amp;C&amp;8Page 2 of 2&amp;R&amp;8-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Type, Competition, Time</vt:lpstr>
      <vt:lpstr>Small Business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Gladhill, Vicki</dc:creator>
  <cp:lastModifiedBy>Schmidt, Joseph</cp:lastModifiedBy>
  <cp:lastPrinted>2014-12-15T12:08:46Z</cp:lastPrinted>
  <dcterms:created xsi:type="dcterms:W3CDTF">2010-11-24T14:49:02Z</dcterms:created>
  <dcterms:modified xsi:type="dcterms:W3CDTF">2015-05-22T12:34:03Z</dcterms:modified>
</cp:coreProperties>
</file>