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70" windowWidth="14940" windowHeight="9150"/>
  </bookViews>
  <sheets>
    <sheet name="Type, Competition, Time" sheetId="2" r:id="rId1"/>
    <sheet name="Small Business" sheetId="1" r:id="rId2"/>
  </sheets>
  <calcPr calcId="125725"/>
</workbook>
</file>

<file path=xl/calcChain.xml><?xml version="1.0" encoding="utf-8"?>
<calcChain xmlns="http://schemas.openxmlformats.org/spreadsheetml/2006/main">
  <c r="K19" i="1"/>
  <c r="K18"/>
  <c r="K15"/>
  <c r="K14"/>
  <c r="K10"/>
  <c r="K7"/>
  <c r="K6"/>
  <c r="K5"/>
  <c r="J15"/>
  <c r="J11"/>
  <c r="I19"/>
  <c r="H19"/>
  <c r="I15"/>
  <c r="I10"/>
  <c r="I6"/>
  <c r="I5"/>
  <c r="H15"/>
  <c r="H14"/>
  <c r="H10"/>
  <c r="H6"/>
  <c r="H5"/>
  <c r="G18"/>
  <c r="G15"/>
  <c r="G14"/>
  <c r="G11"/>
  <c r="G10"/>
  <c r="G7"/>
  <c r="G6"/>
  <c r="G5"/>
  <c r="F19"/>
  <c r="F18"/>
  <c r="F15"/>
  <c r="F14"/>
  <c r="F11"/>
  <c r="F10"/>
  <c r="F7"/>
  <c r="F6"/>
  <c r="F5"/>
  <c r="E19"/>
  <c r="E18"/>
  <c r="E15"/>
  <c r="E14"/>
  <c r="E11"/>
  <c r="E10"/>
  <c r="E7"/>
  <c r="E6"/>
  <c r="E5"/>
  <c r="D7"/>
  <c r="D6"/>
  <c r="D5"/>
  <c r="D19"/>
  <c r="D18"/>
  <c r="D15"/>
  <c r="D14"/>
  <c r="D13"/>
  <c r="D11"/>
  <c r="D10"/>
  <c r="P19" i="2"/>
  <c r="P18"/>
  <c r="P15"/>
  <c r="P14"/>
  <c r="P13"/>
  <c r="P11"/>
  <c r="P10"/>
  <c r="P7"/>
  <c r="P6"/>
  <c r="P5"/>
  <c r="O18"/>
  <c r="O15"/>
  <c r="O14"/>
  <c r="O13"/>
  <c r="O11"/>
  <c r="O10"/>
  <c r="O7"/>
  <c r="O6"/>
  <c r="O5"/>
  <c r="N18"/>
  <c r="N19"/>
  <c r="N7"/>
  <c r="D7"/>
  <c r="E7"/>
  <c r="G7"/>
  <c r="M7"/>
  <c r="N15"/>
  <c r="N14"/>
  <c r="N11"/>
  <c r="N10"/>
  <c r="N6"/>
  <c r="N5"/>
  <c r="M13"/>
  <c r="M18"/>
  <c r="M15"/>
  <c r="M14"/>
  <c r="M5"/>
  <c r="M6"/>
  <c r="M10"/>
  <c r="M19"/>
  <c r="M11"/>
  <c r="L15"/>
  <c r="K15"/>
  <c r="J15"/>
  <c r="I15"/>
  <c r="K14"/>
  <c r="J14"/>
  <c r="I14"/>
  <c r="J5"/>
  <c r="I5"/>
  <c r="L5"/>
  <c r="K5"/>
  <c r="K6"/>
  <c r="I6"/>
  <c r="L10"/>
  <c r="J10"/>
  <c r="I10"/>
  <c r="L19"/>
  <c r="J19"/>
  <c r="I19"/>
  <c r="L11"/>
  <c r="K11"/>
  <c r="I11"/>
  <c r="G18"/>
  <c r="E18"/>
  <c r="G10"/>
  <c r="E10"/>
  <c r="E13"/>
  <c r="D13"/>
  <c r="G15"/>
  <c r="E15"/>
  <c r="G14"/>
  <c r="F14"/>
  <c r="E14"/>
  <c r="H5"/>
  <c r="G5"/>
  <c r="F5"/>
  <c r="E5"/>
  <c r="G6"/>
  <c r="H6"/>
  <c r="E6"/>
  <c r="G19"/>
  <c r="E19"/>
  <c r="H11"/>
  <c r="G11"/>
  <c r="E11"/>
  <c r="F11"/>
  <c r="D11"/>
  <c r="D19"/>
  <c r="D18"/>
  <c r="D15"/>
  <c r="D14"/>
  <c r="D10"/>
  <c r="D6"/>
  <c r="D5"/>
  <c r="F10"/>
</calcChain>
</file>

<file path=xl/sharedStrings.xml><?xml version="1.0" encoding="utf-8"?>
<sst xmlns="http://schemas.openxmlformats.org/spreadsheetml/2006/main" count="93" uniqueCount="50">
  <si>
    <t>D301</t>
  </si>
  <si>
    <t>ADP FACILITY MANAGEMENT</t>
  </si>
  <si>
    <t>D302</t>
  </si>
  <si>
    <t>ADP SYSTEMS DEVELOPMENT SERVICES</t>
  </si>
  <si>
    <t>D313</t>
  </si>
  <si>
    <t>COMPUTER AIDED DESGN/MFG SVCS</t>
  </si>
  <si>
    <t>D399</t>
  </si>
  <si>
    <t>OTHER ADP &amp; TELECOMMUNICATIONS SVCS</t>
  </si>
  <si>
    <t>R408</t>
  </si>
  <si>
    <t>PROGRAM MANAGEMENT/SUPPORT SERVICES</t>
  </si>
  <si>
    <t>R421</t>
  </si>
  <si>
    <t>TECHNICAL ASSISTANCE</t>
  </si>
  <si>
    <t>R499</t>
  </si>
  <si>
    <t>OTHER PROFESSIONAL SERVICES</t>
  </si>
  <si>
    <t>R699</t>
  </si>
  <si>
    <t>OTHER ADMINISTRATIVE SUPPORT SVCS</t>
  </si>
  <si>
    <t>S206</t>
  </si>
  <si>
    <t>GUARD SERVICES</t>
  </si>
  <si>
    <t>Biggest Percentage of Obligations</t>
  </si>
  <si>
    <t>Obligations</t>
  </si>
  <si>
    <t>Small Business</t>
  </si>
  <si>
    <t>SDB</t>
  </si>
  <si>
    <t>VOSB</t>
  </si>
  <si>
    <t>HUBZone</t>
  </si>
  <si>
    <t>WOSB</t>
  </si>
  <si>
    <t>Special Interest Functions</t>
  </si>
  <si>
    <t>% Total Obligations</t>
  </si>
  <si>
    <t>8(a) Program</t>
  </si>
  <si>
    <t>Fixed Price</t>
  </si>
  <si>
    <t>Cost</t>
  </si>
  <si>
    <t>T&amp;M/LH</t>
  </si>
  <si>
    <t>Other</t>
  </si>
  <si>
    <t>Competed</t>
  </si>
  <si>
    <t>Not Competed</t>
  </si>
  <si>
    <t>Not Avaiable for Comp.</t>
  </si>
  <si>
    <t>blank</t>
  </si>
  <si>
    <t>Q1</t>
  </si>
  <si>
    <t>Q2</t>
  </si>
  <si>
    <t>Q3</t>
  </si>
  <si>
    <t>Q4</t>
  </si>
  <si>
    <t>Contract Type Analysis</t>
  </si>
  <si>
    <t>(as % of PSC Obligations)</t>
  </si>
  <si>
    <t>Competition Analysis</t>
  </si>
  <si>
    <t>(as a % of PSC Obligations)</t>
  </si>
  <si>
    <t>Time of Obligation Analysis</t>
  </si>
  <si>
    <t>Small Business Analysis</t>
  </si>
  <si>
    <t>See Above</t>
  </si>
  <si>
    <t>S113</t>
  </si>
  <si>
    <t>TELEPHONE AND-OR COMMUNICATIONS SER</t>
  </si>
  <si>
    <t>SDVOSB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</si>
</sst>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0.0%"/>
  </numFmts>
  <fonts count="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165" fontId="0" fillId="0" borderId="0" xfId="0" applyNumberFormat="1"/>
    <xf numFmtId="165" fontId="3" fillId="0" borderId="0" xfId="0" applyNumberFormat="1" applyFont="1" applyAlignment="1">
      <alignment horizontal="right"/>
    </xf>
    <xf numFmtId="166" fontId="0" fillId="0" borderId="0" xfId="0" applyNumberFormat="1"/>
    <xf numFmtId="165" fontId="3" fillId="0" borderId="5" xfId="0" applyNumberFormat="1" applyFont="1" applyBorder="1" applyAlignment="1">
      <alignment horizontal="right"/>
    </xf>
    <xf numFmtId="166" fontId="0" fillId="0" borderId="6" xfId="0" applyNumberFormat="1" applyBorder="1"/>
    <xf numFmtId="0" fontId="1" fillId="0" borderId="6" xfId="0" applyFont="1" applyBorder="1" applyAlignment="1">
      <alignment wrapText="1"/>
    </xf>
    <xf numFmtId="0" fontId="0" fillId="0" borderId="6" xfId="0" applyBorder="1"/>
    <xf numFmtId="165" fontId="0" fillId="0" borderId="5" xfId="0" applyNumberFormat="1" applyBorder="1" applyAlignment="1">
      <alignment wrapText="1"/>
    </xf>
    <xf numFmtId="165" fontId="0" fillId="0" borderId="5" xfId="0" applyNumberFormat="1" applyBorder="1"/>
    <xf numFmtId="0" fontId="0" fillId="0" borderId="5" xfId="0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/>
    <xf numFmtId="166" fontId="0" fillId="0" borderId="11" xfId="0" applyNumberFormat="1" applyBorder="1"/>
    <xf numFmtId="166" fontId="1" fillId="0" borderId="4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0" fillId="0" borderId="4" xfId="0" applyNumberFormat="1" applyBorder="1"/>
    <xf numFmtId="166" fontId="0" fillId="0" borderId="5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1" fillId="0" borderId="4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0" fontId="0" fillId="0" borderId="10" xfId="0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0" fillId="0" borderId="18" xfId="0" applyBorder="1"/>
    <xf numFmtId="166" fontId="0" fillId="0" borderId="18" xfId="0" applyNumberFormat="1" applyBorder="1"/>
    <xf numFmtId="166" fontId="0" fillId="0" borderId="12" xfId="0" applyNumberFormat="1" applyBorder="1"/>
    <xf numFmtId="165" fontId="1" fillId="0" borderId="11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166" fontId="0" fillId="0" borderId="13" xfId="0" applyNumberFormat="1" applyBorder="1"/>
    <xf numFmtId="165" fontId="1" fillId="3" borderId="11" xfId="0" applyNumberFormat="1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0" borderId="5" xfId="0" applyBorder="1" applyAlignment="1"/>
    <xf numFmtId="0" fontId="0" fillId="2" borderId="17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166" fontId="1" fillId="0" borderId="1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1" fillId="3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topLeftCell="E1" workbookViewId="0">
      <selection activeCell="A2" sqref="A2"/>
    </sheetView>
  </sheetViews>
  <sheetFormatPr defaultRowHeight="12.75"/>
  <cols>
    <col min="1" max="1" width="5.85546875" bestFit="1" customWidth="1"/>
    <col min="2" max="2" width="37" style="4" bestFit="1" customWidth="1"/>
    <col min="3" max="3" width="11.140625" style="8" bestFit="1" customWidth="1"/>
    <col min="4" max="4" width="10.28515625" customWidth="1"/>
    <col min="5" max="8" width="9.140625" style="10" customWidth="1"/>
    <col min="9" max="9" width="10.42578125" style="10" customWidth="1"/>
    <col min="10" max="10" width="12.28515625" style="10" bestFit="1" customWidth="1"/>
    <col min="11" max="16" width="9.140625" style="10"/>
  </cols>
  <sheetData>
    <row r="1" spans="1:16">
      <c r="E1" s="63" t="s">
        <v>40</v>
      </c>
      <c r="F1" s="64"/>
      <c r="G1" s="64"/>
      <c r="H1" s="65"/>
      <c r="I1" s="63" t="s">
        <v>42</v>
      </c>
      <c r="J1" s="64"/>
      <c r="K1" s="64"/>
      <c r="L1" s="65"/>
      <c r="M1" s="63" t="s">
        <v>44</v>
      </c>
      <c r="N1" s="64"/>
      <c r="O1" s="64"/>
      <c r="P1" s="65"/>
    </row>
    <row r="2" spans="1:16">
      <c r="E2" s="66" t="s">
        <v>41</v>
      </c>
      <c r="F2" s="67"/>
      <c r="G2" s="67"/>
      <c r="H2" s="68"/>
      <c r="I2" s="66" t="s">
        <v>43</v>
      </c>
      <c r="J2" s="67"/>
      <c r="K2" s="67"/>
      <c r="L2" s="68"/>
      <c r="M2" s="66" t="s">
        <v>41</v>
      </c>
      <c r="N2" s="67"/>
      <c r="O2" s="67"/>
      <c r="P2" s="68"/>
    </row>
    <row r="3" spans="1:16" s="4" customFormat="1" ht="38.25">
      <c r="A3" s="17"/>
      <c r="B3" s="17"/>
      <c r="C3" s="15" t="s">
        <v>19</v>
      </c>
      <c r="D3" s="20" t="s">
        <v>26</v>
      </c>
      <c r="E3" s="23" t="s">
        <v>28</v>
      </c>
      <c r="F3" s="24" t="s">
        <v>29</v>
      </c>
      <c r="G3" s="24" t="s">
        <v>30</v>
      </c>
      <c r="H3" s="25" t="s">
        <v>31</v>
      </c>
      <c r="I3" s="23" t="s">
        <v>32</v>
      </c>
      <c r="J3" s="24" t="s">
        <v>33</v>
      </c>
      <c r="K3" s="24" t="s">
        <v>34</v>
      </c>
      <c r="L3" s="25" t="s">
        <v>35</v>
      </c>
      <c r="M3" s="31" t="s">
        <v>36</v>
      </c>
      <c r="N3" s="32" t="s">
        <v>37</v>
      </c>
      <c r="O3" s="32" t="s">
        <v>38</v>
      </c>
      <c r="P3" s="33" t="s">
        <v>39</v>
      </c>
    </row>
    <row r="4" spans="1:16">
      <c r="A4" s="59" t="s">
        <v>25</v>
      </c>
      <c r="B4" s="59"/>
      <c r="C4" s="16"/>
      <c r="D4" s="21"/>
      <c r="E4" s="26"/>
      <c r="F4" s="27"/>
      <c r="G4" s="27"/>
      <c r="H4" s="12"/>
      <c r="I4" s="26"/>
      <c r="J4" s="27"/>
      <c r="K4" s="27"/>
      <c r="L4" s="12"/>
      <c r="M4" s="26"/>
      <c r="N4" s="27"/>
      <c r="O4" s="27"/>
      <c r="P4" s="12"/>
    </row>
    <row r="5" spans="1:16">
      <c r="A5" s="5" t="s">
        <v>10</v>
      </c>
      <c r="B5" s="6" t="s">
        <v>11</v>
      </c>
      <c r="C5" s="11">
        <v>22592248</v>
      </c>
      <c r="D5" s="12">
        <f>C5/199679758.27</f>
        <v>0.11314240459692239</v>
      </c>
      <c r="E5" s="26">
        <f>986735.14/C5</f>
        <v>4.3675828098204306E-2</v>
      </c>
      <c r="F5" s="27">
        <f>(191040+10137311+6954077.8)/C5</f>
        <v>0.76497163097713872</v>
      </c>
      <c r="G5" s="27">
        <f>(2871716.48+1190035.69)/C5</f>
        <v>0.17978521526498822</v>
      </c>
      <c r="H5" s="12">
        <f>261331.86/C5</f>
        <v>1.1567324331779644E-2</v>
      </c>
      <c r="I5" s="26">
        <f>(184000+62988.14+10137311+620450.5+321039.65+1605000+2288108.81+316756.3+200000)/C5</f>
        <v>0.696506801802105</v>
      </c>
      <c r="J5" s="27">
        <f>(467563.49+4338135.86+270000+236818)/C5</f>
        <v>0.23514779715590944</v>
      </c>
      <c r="K5" s="27">
        <f>997690/C5</f>
        <v>4.4160722739941594E-2</v>
      </c>
      <c r="L5" s="12">
        <f>546386.1/C5</f>
        <v>2.4184671662598602E-2</v>
      </c>
      <c r="M5" s="26">
        <f>1248798.23/C5</f>
        <v>5.52755188416841E-2</v>
      </c>
      <c r="N5" s="27">
        <f>3156476.17/C5</f>
        <v>0.13971501065321165</v>
      </c>
      <c r="O5" s="27">
        <f>5037359.19/C5</f>
        <v>0.22296847971923822</v>
      </c>
      <c r="P5" s="12">
        <f>13089803.26/C5</f>
        <v>0.57939357163572214</v>
      </c>
    </row>
    <row r="6" spans="1:16" ht="25.5">
      <c r="A6" s="18" t="s">
        <v>8</v>
      </c>
      <c r="B6" s="19" t="s">
        <v>9</v>
      </c>
      <c r="C6" s="16">
        <v>5503742</v>
      </c>
      <c r="D6" s="12">
        <f t="shared" ref="D6" si="0">C6/199679758.27</f>
        <v>2.7562843864013656E-2</v>
      </c>
      <c r="E6" s="26">
        <f>313743.44/C6</f>
        <v>5.7005477364309595E-2</v>
      </c>
      <c r="F6" s="27">
        <v>0</v>
      </c>
      <c r="G6" s="27">
        <f>(1192088.14+3822910)/C6</f>
        <v>0.91119789772122306</v>
      </c>
      <c r="H6" s="12">
        <f>175000/C6</f>
        <v>3.1796548602750635E-2</v>
      </c>
      <c r="I6" s="26">
        <f>(510977.94+687422.2+3637910)/C6</f>
        <v>0.87873125956848985</v>
      </c>
      <c r="J6" s="27">
        <v>0</v>
      </c>
      <c r="K6" s="27">
        <f>660031.44/C6</f>
        <v>0.11992412435030565</v>
      </c>
      <c r="L6" s="12">
        <v>0</v>
      </c>
      <c r="M6" s="26">
        <f>1005000/C6</f>
        <v>0.18260303626151081</v>
      </c>
      <c r="N6" s="27">
        <f>297977.2/C6</f>
        <v>5.4140837270351704E-2</v>
      </c>
      <c r="O6" s="27">
        <f>1620000/C6</f>
        <v>0.29434519277974874</v>
      </c>
      <c r="P6" s="12">
        <f>2580764.38/C6</f>
        <v>0.4689108573766721</v>
      </c>
    </row>
    <row r="7" spans="1:16" ht="25.5">
      <c r="A7" s="5" t="s">
        <v>2</v>
      </c>
      <c r="B7" s="6" t="s">
        <v>3</v>
      </c>
      <c r="C7" s="51">
        <v>4973562.3099999996</v>
      </c>
      <c r="D7" s="12">
        <f t="shared" ref="D7" si="1">C7/199679758.27</f>
        <v>2.4907693965028354E-2</v>
      </c>
      <c r="E7" s="55">
        <f>202312/C7</f>
        <v>4.0677483741025054E-2</v>
      </c>
      <c r="F7" s="27">
        <v>0</v>
      </c>
      <c r="G7" s="27">
        <f>(1838533.27+2932717.04)/C7</f>
        <v>0.95932251625897513</v>
      </c>
      <c r="H7" s="12">
        <v>0</v>
      </c>
      <c r="I7" s="26">
        <v>1</v>
      </c>
      <c r="J7" s="27">
        <v>0</v>
      </c>
      <c r="K7" s="27">
        <v>0</v>
      </c>
      <c r="L7" s="12">
        <v>0</v>
      </c>
      <c r="M7" s="26">
        <f>288800/C7</f>
        <v>5.8067031636324269E-2</v>
      </c>
      <c r="N7" s="27">
        <f>1460300/C7</f>
        <v>0.293612487183256</v>
      </c>
      <c r="O7" s="27">
        <f>1319546.27/C7</f>
        <v>0.2653121018202344</v>
      </c>
      <c r="P7" s="12">
        <f>1904916.04/C7</f>
        <v>0.38300837936018545</v>
      </c>
    </row>
    <row r="8" spans="1:16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6">
      <c r="A9" s="42" t="s">
        <v>18</v>
      </c>
      <c r="B9" s="46"/>
      <c r="C9" s="47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</row>
    <row r="10" spans="1:16" ht="25.5">
      <c r="A10" s="5" t="s">
        <v>6</v>
      </c>
      <c r="B10" s="53" t="s">
        <v>7</v>
      </c>
      <c r="C10" s="51">
        <v>32908693.300000001</v>
      </c>
      <c r="D10" s="12">
        <f t="shared" ref="D10:D11" si="2">C10/199679758.27</f>
        <v>0.16480735746635877</v>
      </c>
      <c r="E10" s="26">
        <f>24108412.87/C10</f>
        <v>0.73258493280862058</v>
      </c>
      <c r="F10" s="27">
        <f>0</f>
        <v>0</v>
      </c>
      <c r="G10" s="27">
        <f>(4684955.43+4085325)/C10</f>
        <v>0.26650345396728348</v>
      </c>
      <c r="H10" s="12">
        <v>0</v>
      </c>
      <c r="I10" s="26">
        <f>(478093.75+1386555+3782429.37+1470612.43+904566.68+8888593.75+203916.62+338000)/C10</f>
        <v>0.53033912470781697</v>
      </c>
      <c r="J10" s="27">
        <f>(14257000+108511)/C10</f>
        <v>0.43652632661655999</v>
      </c>
      <c r="K10" s="27">
        <v>0</v>
      </c>
      <c r="L10" s="12">
        <f>195100/C10</f>
        <v>5.9285246673710986E-3</v>
      </c>
      <c r="M10" s="26">
        <f>1058772.46/C10</f>
        <v>3.2173032528155711E-2</v>
      </c>
      <c r="N10" s="27">
        <f>3450917.36/C10</f>
        <v>0.10486339668795053</v>
      </c>
      <c r="O10" s="27">
        <f>7372373.99/C10</f>
        <v>0.22402512074218395</v>
      </c>
      <c r="P10" s="12">
        <f>21026629.49/C10</f>
        <v>0.63893845004170968</v>
      </c>
    </row>
    <row r="11" spans="1:16">
      <c r="A11" s="5" t="s">
        <v>0</v>
      </c>
      <c r="B11" s="53" t="s">
        <v>1</v>
      </c>
      <c r="C11" s="51">
        <v>26622128.41</v>
      </c>
      <c r="D11" s="12">
        <f t="shared" si="2"/>
        <v>0.13332412178705907</v>
      </c>
      <c r="E11" s="26">
        <f>16212093/C11</f>
        <v>0.60897058080113131</v>
      </c>
      <c r="F11" s="27">
        <f>0</f>
        <v>0</v>
      </c>
      <c r="G11" s="22">
        <f>(9950435.41+380600)/C11</f>
        <v>0.38806196299914852</v>
      </c>
      <c r="H11" s="12">
        <f>79000/C11</f>
        <v>2.9674561997201335E-3</v>
      </c>
      <c r="I11" s="26">
        <f>(50000+79000)/C11</f>
        <v>4.8455930349860406E-3</v>
      </c>
      <c r="J11" s="27">
        <v>0</v>
      </c>
      <c r="K11" s="27">
        <f>398029/C11</f>
        <v>1.4951058528081077E-2</v>
      </c>
      <c r="L11" s="12">
        <f>26095099.41/C11</f>
        <v>0.98020334843693291</v>
      </c>
      <c r="M11" s="26">
        <f>6981500/C11</f>
        <v>0.26224424630817861</v>
      </c>
      <c r="N11" s="27">
        <f>8991751.72/C11</f>
        <v>0.33775480237795158</v>
      </c>
      <c r="O11" s="27">
        <f>4698080/C11</f>
        <v>0.17647274206052108</v>
      </c>
      <c r="P11" s="12">
        <f>5854796.69/C11</f>
        <v>0.21992218652963819</v>
      </c>
    </row>
    <row r="12" spans="1:16">
      <c r="A12" s="5" t="s">
        <v>10</v>
      </c>
      <c r="B12" s="53" t="s">
        <v>11</v>
      </c>
      <c r="C12" s="56" t="s">
        <v>46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8"/>
    </row>
    <row r="13" spans="1:16">
      <c r="A13" s="5" t="s">
        <v>16</v>
      </c>
      <c r="B13" s="53" t="s">
        <v>17</v>
      </c>
      <c r="C13" s="51">
        <v>12503613</v>
      </c>
      <c r="D13" s="12">
        <f t="shared" ref="D13" si="3">C13/199679758.27</f>
        <v>6.2618330011663226E-2</v>
      </c>
      <c r="E13" s="26">
        <f>12503613/C13</f>
        <v>1</v>
      </c>
      <c r="F13" s="27">
        <v>0</v>
      </c>
      <c r="G13" s="27">
        <v>0</v>
      </c>
      <c r="H13" s="12">
        <v>0</v>
      </c>
      <c r="I13" s="26">
        <v>1</v>
      </c>
      <c r="J13" s="27">
        <v>0</v>
      </c>
      <c r="K13" s="27">
        <v>0</v>
      </c>
      <c r="L13" s="12">
        <v>0</v>
      </c>
      <c r="M13" s="26">
        <f>3101806.5/C13</f>
        <v>0.2480728170329648</v>
      </c>
      <c r="N13" s="27">
        <v>0</v>
      </c>
      <c r="O13" s="27">
        <f>3101806.5/C13</f>
        <v>0.2480728170329648</v>
      </c>
      <c r="P13" s="12">
        <f>6300000/C13</f>
        <v>0.5038543659340704</v>
      </c>
    </row>
    <row r="14" spans="1:16">
      <c r="A14" s="5" t="s">
        <v>12</v>
      </c>
      <c r="B14" s="53" t="s">
        <v>13</v>
      </c>
      <c r="C14" s="51">
        <v>8273346.2999999998</v>
      </c>
      <c r="D14" s="12">
        <f t="shared" ref="D14:D19" si="4">C14/199679758.27</f>
        <v>4.143307449728114E-2</v>
      </c>
      <c r="E14" s="26">
        <f>677454/C14</f>
        <v>8.1883916789509945E-2</v>
      </c>
      <c r="F14" s="27">
        <f>(873900+58237)/C14</f>
        <v>0.11266747047684926</v>
      </c>
      <c r="G14" s="27">
        <f>(6565683.07+105051.84)/C14</f>
        <v>0.80629223872811906</v>
      </c>
      <c r="H14" s="12">
        <v>0</v>
      </c>
      <c r="I14" s="26">
        <f>(62000+720651.58+755230.38+1229565.69+2734462.77+59700)/C14</f>
        <v>0.6722322767995339</v>
      </c>
      <c r="J14" s="27">
        <f>(997000+124931.888932)/C14</f>
        <v>0.13560799321696471</v>
      </c>
      <c r="K14" s="27">
        <f>(292320+49000)/C14</f>
        <v>4.12553745030593E-2</v>
      </c>
      <c r="L14" s="12">
        <v>0</v>
      </c>
      <c r="M14" s="26">
        <f>2344827.56/C14</f>
        <v>0.28341948650209409</v>
      </c>
      <c r="N14" s="27">
        <f>2250266.66/C14</f>
        <v>0.27198990328737965</v>
      </c>
      <c r="O14" s="27">
        <f>1873400.41/C14</f>
        <v>0.22643805082835708</v>
      </c>
      <c r="P14" s="12">
        <f>1804851.67/C14</f>
        <v>0.21815255938216921</v>
      </c>
    </row>
    <row r="15" spans="1:16" ht="25.5">
      <c r="A15" s="5" t="s">
        <v>14</v>
      </c>
      <c r="B15" s="53" t="s">
        <v>15</v>
      </c>
      <c r="C15" s="51">
        <v>6440483.6200000001</v>
      </c>
      <c r="D15" s="12">
        <f t="shared" si="4"/>
        <v>3.2254063585610927E-2</v>
      </c>
      <c r="E15" s="26">
        <f>5489829.12/C15</f>
        <v>0.85239392628095834</v>
      </c>
      <c r="F15" s="27">
        <v>0</v>
      </c>
      <c r="G15" s="27">
        <f>937654.5/C15</f>
        <v>0.14558759175914185</v>
      </c>
      <c r="H15" s="12">
        <v>0</v>
      </c>
      <c r="I15" s="26">
        <f>(267000+81860.29+4312795.56)/C15</f>
        <v>0.72380524896048093</v>
      </c>
      <c r="J15" s="27">
        <f>(63164)/C15</f>
        <v>9.8073380396238013E-3</v>
      </c>
      <c r="K15" s="27">
        <f>1438459.52/C15</f>
        <v>0.22334650701277617</v>
      </c>
      <c r="L15" s="12">
        <f>254398/C15</f>
        <v>3.9499828741121776E-2</v>
      </c>
      <c r="M15" s="26">
        <f>513127/C15</f>
        <v>7.9672122510576315E-2</v>
      </c>
      <c r="N15" s="27">
        <f>1653978.8/C15</f>
        <v>0.25680972075820607</v>
      </c>
      <c r="O15" s="27">
        <f>1759553.48/C15</f>
        <v>0.27320207360452847</v>
      </c>
      <c r="P15" s="12">
        <f>2426324.34/C15</f>
        <v>0.37673014685813294</v>
      </c>
    </row>
    <row r="16" spans="1:16" ht="25.5">
      <c r="A16" s="5" t="s">
        <v>8</v>
      </c>
      <c r="B16" s="53" t="s">
        <v>9</v>
      </c>
      <c r="C16" s="56" t="s">
        <v>46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6" ht="25.5">
      <c r="A17" s="5" t="s">
        <v>2</v>
      </c>
      <c r="B17" s="53" t="s">
        <v>3</v>
      </c>
      <c r="C17" s="56" t="s">
        <v>46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1:16" ht="25.5">
      <c r="A18" s="5" t="s">
        <v>47</v>
      </c>
      <c r="B18" s="53" t="s">
        <v>48</v>
      </c>
      <c r="C18" s="51">
        <v>4897098.29</v>
      </c>
      <c r="D18" s="12">
        <f t="shared" si="4"/>
        <v>2.4524760708986407E-2</v>
      </c>
      <c r="E18" s="26">
        <f>285068.29/C18</f>
        <v>5.8211674162660106E-2</v>
      </c>
      <c r="F18" s="27">
        <v>0</v>
      </c>
      <c r="G18" s="27">
        <f>4612000/C18</f>
        <v>0.94178219976058519</v>
      </c>
      <c r="H18" s="12">
        <v>0</v>
      </c>
      <c r="I18" s="26">
        <v>1</v>
      </c>
      <c r="J18" s="27">
        <v>0</v>
      </c>
      <c r="K18" s="27">
        <v>0</v>
      </c>
      <c r="L18" s="12">
        <v>0</v>
      </c>
      <c r="M18" s="26">
        <f>75070.88/C18</f>
        <v>1.532966576417236E-2</v>
      </c>
      <c r="N18" s="27">
        <f>2317884.42/C18</f>
        <v>0.47331792885047441</v>
      </c>
      <c r="O18" s="27">
        <f>2304800/C18</f>
        <v>0.47064605681010335</v>
      </c>
      <c r="P18" s="12">
        <f>210733.8/C18</f>
        <v>4.3032381120534952E-2</v>
      </c>
    </row>
    <row r="19" spans="1:16" ht="13.5" thickBot="1">
      <c r="A19" s="7" t="s">
        <v>4</v>
      </c>
      <c r="B19" s="54" t="s">
        <v>5</v>
      </c>
      <c r="C19" s="52">
        <v>3244302.31</v>
      </c>
      <c r="D19" s="30">
        <f t="shared" si="4"/>
        <v>1.6247527231143616E-2</v>
      </c>
      <c r="E19" s="28">
        <f>3109692.13/C19</f>
        <v>0.95850874328662661</v>
      </c>
      <c r="F19" s="29">
        <v>0</v>
      </c>
      <c r="G19" s="29">
        <f>134610.18/C19</f>
        <v>4.1491256713373295E-2</v>
      </c>
      <c r="H19" s="30">
        <v>0</v>
      </c>
      <c r="I19" s="28">
        <f>(827310.07+147496.65+1047765.27+618028+133591.31)/C19</f>
        <v>0.85509642287312004</v>
      </c>
      <c r="J19" s="29">
        <f>(256203.54+29050)/C19</f>
        <v>8.7924463488114349E-2</v>
      </c>
      <c r="K19" s="29">
        <v>0</v>
      </c>
      <c r="L19" s="30">
        <f>159923.29/C19</f>
        <v>4.9293584481034387E-2</v>
      </c>
      <c r="M19" s="28">
        <f>839605.36/C19</f>
        <v>0.25879381135724061</v>
      </c>
      <c r="N19" s="29">
        <f>185799.93/C19</f>
        <v>5.7269610611595557E-2</v>
      </c>
      <c r="O19" s="29">
        <v>0</v>
      </c>
      <c r="P19" s="30">
        <f>1314918.21/C19</f>
        <v>0.40530076557507982</v>
      </c>
    </row>
    <row r="20" spans="1:16">
      <c r="A20" s="1"/>
      <c r="B20" s="3"/>
      <c r="C20" s="9"/>
    </row>
    <row r="21" spans="1:16">
      <c r="A21" s="1"/>
      <c r="B21" s="3"/>
      <c r="C21" s="9"/>
    </row>
    <row r="22" spans="1:16">
      <c r="A22" s="1"/>
      <c r="B22" s="3"/>
      <c r="C22" s="9"/>
    </row>
    <row r="23" spans="1:16">
      <c r="A23" s="1"/>
      <c r="B23" s="3"/>
      <c r="C23" s="9"/>
    </row>
    <row r="24" spans="1:16">
      <c r="A24" s="1"/>
      <c r="B24" s="3"/>
      <c r="C24" s="9"/>
    </row>
    <row r="25" spans="1:16">
      <c r="A25" s="1"/>
      <c r="B25" s="3"/>
      <c r="C25" s="9"/>
    </row>
    <row r="26" spans="1:16">
      <c r="A26" s="1"/>
      <c r="B26" s="3"/>
      <c r="C26" s="9"/>
    </row>
    <row r="27" spans="1:16">
      <c r="A27" s="1"/>
      <c r="B27" s="3"/>
      <c r="C27" s="9"/>
    </row>
    <row r="28" spans="1:16">
      <c r="A28" s="1"/>
      <c r="B28" s="3"/>
      <c r="C28" s="9"/>
    </row>
    <row r="29" spans="1:16">
      <c r="A29" s="1"/>
      <c r="B29" s="3"/>
      <c r="C29" s="9"/>
    </row>
    <row r="30" spans="1:16">
      <c r="A30" s="1"/>
      <c r="B30" s="3"/>
      <c r="C30" s="9"/>
    </row>
    <row r="31" spans="1:16">
      <c r="A31" s="1"/>
      <c r="B31" s="3"/>
      <c r="C31" s="9"/>
    </row>
    <row r="32" spans="1:16">
      <c r="A32" s="1"/>
      <c r="B32" s="3"/>
      <c r="C32" s="9"/>
    </row>
    <row r="33" spans="1:3">
      <c r="A33" s="1"/>
      <c r="B33" s="3"/>
      <c r="C33" s="9"/>
    </row>
    <row r="34" spans="1:3">
      <c r="A34" s="1"/>
      <c r="B34" s="3"/>
      <c r="C34" s="9"/>
    </row>
    <row r="35" spans="1:3">
      <c r="A35" s="1"/>
      <c r="B35" s="3"/>
      <c r="C35" s="9"/>
    </row>
    <row r="36" spans="1:3">
      <c r="A36" s="1"/>
      <c r="B36" s="3"/>
      <c r="C36" s="9"/>
    </row>
    <row r="37" spans="1:3">
      <c r="A37" s="1"/>
      <c r="B37" s="3"/>
      <c r="C37" s="9"/>
    </row>
    <row r="38" spans="1:3">
      <c r="A38" s="1"/>
      <c r="B38" s="3"/>
      <c r="C38" s="9"/>
    </row>
    <row r="39" spans="1:3">
      <c r="A39" s="1"/>
      <c r="B39" s="3"/>
      <c r="C39" s="9"/>
    </row>
    <row r="40" spans="1:3">
      <c r="A40" s="1"/>
      <c r="B40" s="3"/>
      <c r="C40" s="9"/>
    </row>
    <row r="41" spans="1:3">
      <c r="A41" s="1"/>
      <c r="B41" s="3"/>
      <c r="C41" s="9"/>
    </row>
    <row r="42" spans="1:3">
      <c r="A42" s="1"/>
      <c r="B42" s="3"/>
      <c r="C42" s="9"/>
    </row>
    <row r="43" spans="1:3">
      <c r="A43" s="1"/>
      <c r="B43" s="3"/>
      <c r="C43" s="9"/>
    </row>
    <row r="44" spans="1:3">
      <c r="A44" s="1"/>
      <c r="B44" s="3"/>
      <c r="C44" s="9"/>
    </row>
    <row r="45" spans="1:3">
      <c r="A45" s="1"/>
      <c r="B45" s="3"/>
      <c r="C45" s="9"/>
    </row>
    <row r="46" spans="1:3">
      <c r="A46" s="1"/>
      <c r="B46" s="3"/>
      <c r="C46" s="9"/>
    </row>
    <row r="47" spans="1:3">
      <c r="A47" s="1"/>
      <c r="B47" s="3"/>
      <c r="C47" s="9"/>
    </row>
    <row r="48" spans="1:3">
      <c r="A48" s="1"/>
      <c r="B48" s="3"/>
      <c r="C48" s="9"/>
    </row>
    <row r="49" spans="1:3">
      <c r="A49" s="1"/>
      <c r="B49" s="3"/>
      <c r="C49" s="9"/>
    </row>
    <row r="50" spans="1:3">
      <c r="A50" s="1"/>
      <c r="B50" s="3"/>
      <c r="C50" s="9"/>
    </row>
    <row r="51" spans="1:3">
      <c r="A51" s="1"/>
      <c r="B51" s="3"/>
      <c r="C51" s="9"/>
    </row>
    <row r="52" spans="1:3">
      <c r="A52" s="1"/>
      <c r="B52" s="3"/>
      <c r="C52" s="9"/>
    </row>
    <row r="53" spans="1:3">
      <c r="A53" s="1"/>
      <c r="B53" s="3"/>
      <c r="C53" s="9"/>
    </row>
    <row r="54" spans="1:3">
      <c r="A54" s="1"/>
      <c r="B54" s="3"/>
      <c r="C54" s="9"/>
    </row>
    <row r="55" spans="1:3">
      <c r="A55" s="1"/>
      <c r="B55" s="3"/>
      <c r="C55" s="9"/>
    </row>
    <row r="56" spans="1:3">
      <c r="A56" s="1"/>
      <c r="B56" s="3"/>
      <c r="C56" s="9"/>
    </row>
    <row r="57" spans="1:3">
      <c r="A57" s="1"/>
      <c r="B57" s="3"/>
      <c r="C57" s="9"/>
    </row>
    <row r="58" spans="1:3">
      <c r="A58" s="1"/>
      <c r="B58" s="3"/>
      <c r="C58" s="9"/>
    </row>
    <row r="59" spans="1:3">
      <c r="A59" s="1"/>
      <c r="B59" s="3"/>
      <c r="C59" s="9"/>
    </row>
    <row r="60" spans="1:3">
      <c r="A60" s="1"/>
      <c r="B60" s="3"/>
      <c r="C60" s="9"/>
    </row>
    <row r="61" spans="1:3">
      <c r="A61" s="1"/>
      <c r="B61" s="3"/>
      <c r="C61" s="9"/>
    </row>
    <row r="62" spans="1:3">
      <c r="A62" s="1"/>
      <c r="B62" s="3"/>
      <c r="C62" s="9"/>
    </row>
    <row r="63" spans="1:3">
      <c r="A63" s="1"/>
      <c r="B63" s="3"/>
      <c r="C63" s="9"/>
    </row>
    <row r="64" spans="1:3">
      <c r="A64" s="1"/>
      <c r="B64" s="3"/>
      <c r="C64" s="9"/>
    </row>
    <row r="65" spans="1:3">
      <c r="A65" s="1"/>
      <c r="B65" s="3"/>
      <c r="C65" s="9"/>
    </row>
    <row r="66" spans="1:3">
      <c r="A66" s="1"/>
      <c r="B66" s="3"/>
      <c r="C66" s="9"/>
    </row>
    <row r="67" spans="1:3">
      <c r="A67" s="1"/>
      <c r="B67" s="3"/>
      <c r="C67" s="9"/>
    </row>
    <row r="68" spans="1:3">
      <c r="A68" s="1"/>
      <c r="B68" s="3"/>
      <c r="C68" s="9"/>
    </row>
    <row r="69" spans="1:3">
      <c r="A69" s="1"/>
      <c r="B69" s="3"/>
      <c r="C69" s="9"/>
    </row>
    <row r="70" spans="1:3">
      <c r="A70" s="1"/>
      <c r="B70" s="3"/>
      <c r="C70" s="9"/>
    </row>
    <row r="71" spans="1:3">
      <c r="A71" s="1"/>
      <c r="B71" s="3"/>
      <c r="C71" s="9"/>
    </row>
    <row r="72" spans="1:3">
      <c r="A72" s="1"/>
      <c r="B72" s="3"/>
      <c r="C72" s="9"/>
    </row>
    <row r="73" spans="1:3">
      <c r="A73" s="1"/>
      <c r="B73" s="3"/>
      <c r="C73" s="9"/>
    </row>
    <row r="74" spans="1:3">
      <c r="A74" s="1"/>
      <c r="B74" s="3"/>
      <c r="C74" s="9"/>
    </row>
    <row r="75" spans="1:3">
      <c r="A75" s="1"/>
      <c r="B75" s="3"/>
      <c r="C75" s="9"/>
    </row>
    <row r="76" spans="1:3">
      <c r="A76" s="1"/>
      <c r="B76" s="3"/>
      <c r="C76" s="9"/>
    </row>
    <row r="77" spans="1:3">
      <c r="A77" s="1"/>
      <c r="B77" s="3"/>
      <c r="C77" s="9"/>
    </row>
    <row r="78" spans="1:3">
      <c r="A78" s="1"/>
      <c r="B78" s="3"/>
      <c r="C78" s="9"/>
    </row>
    <row r="79" spans="1:3">
      <c r="A79" s="1"/>
      <c r="B79" s="3"/>
      <c r="C79" s="9"/>
    </row>
    <row r="80" spans="1:3">
      <c r="A80" s="1"/>
      <c r="B80" s="3"/>
      <c r="C80" s="9"/>
    </row>
    <row r="81" spans="1:3">
      <c r="A81" s="1"/>
      <c r="B81" s="3"/>
      <c r="C81" s="9"/>
    </row>
    <row r="82" spans="1:3">
      <c r="A82" s="1"/>
      <c r="B82" s="3"/>
      <c r="C82" s="9"/>
    </row>
    <row r="83" spans="1:3">
      <c r="A83" s="1"/>
      <c r="B83" s="3"/>
      <c r="C83" s="9"/>
    </row>
    <row r="84" spans="1:3">
      <c r="A84" s="1"/>
      <c r="B84" s="3"/>
      <c r="C84" s="9"/>
    </row>
    <row r="85" spans="1:3">
      <c r="A85" s="1"/>
      <c r="B85" s="3"/>
      <c r="C85" s="9"/>
    </row>
    <row r="86" spans="1:3">
      <c r="A86" s="1"/>
      <c r="B86" s="3"/>
      <c r="C86" s="9"/>
    </row>
    <row r="87" spans="1:3">
      <c r="A87" s="1"/>
      <c r="B87" s="3"/>
      <c r="C87" s="9"/>
    </row>
    <row r="88" spans="1:3">
      <c r="A88" s="1"/>
      <c r="B88" s="3"/>
      <c r="C88" s="9"/>
    </row>
    <row r="89" spans="1:3">
      <c r="A89" s="1"/>
      <c r="B89" s="3"/>
      <c r="C89" s="9"/>
    </row>
    <row r="90" spans="1:3">
      <c r="A90" s="1"/>
      <c r="B90" s="3"/>
      <c r="C90" s="9"/>
    </row>
    <row r="91" spans="1:3">
      <c r="A91" s="1"/>
      <c r="B91" s="3"/>
      <c r="C91" s="9"/>
    </row>
    <row r="92" spans="1:3">
      <c r="A92" s="1"/>
      <c r="B92" s="3"/>
      <c r="C92" s="9"/>
    </row>
    <row r="93" spans="1:3">
      <c r="A93" s="1"/>
      <c r="B93" s="3"/>
      <c r="C93" s="9"/>
    </row>
    <row r="94" spans="1:3">
      <c r="A94" s="1"/>
      <c r="B94" s="3"/>
      <c r="C94" s="9"/>
    </row>
    <row r="95" spans="1:3">
      <c r="A95" s="1"/>
      <c r="B95" s="3"/>
      <c r="C95" s="9"/>
    </row>
    <row r="96" spans="1:3">
      <c r="A96" s="1"/>
      <c r="B96" s="3"/>
      <c r="C96" s="9"/>
    </row>
    <row r="97" spans="1:3">
      <c r="A97" s="1"/>
      <c r="B97" s="3"/>
      <c r="C97" s="9"/>
    </row>
    <row r="98" spans="1:3">
      <c r="A98" s="1"/>
      <c r="B98" s="3"/>
      <c r="C98" s="9"/>
    </row>
    <row r="99" spans="1:3">
      <c r="A99" s="1"/>
      <c r="B99" s="3"/>
      <c r="C99" s="9"/>
    </row>
    <row r="100" spans="1:3">
      <c r="A100" s="1"/>
      <c r="B100" s="3"/>
      <c r="C100" s="9"/>
    </row>
    <row r="101" spans="1:3">
      <c r="A101" s="1"/>
      <c r="B101" s="3"/>
      <c r="C101" s="9"/>
    </row>
    <row r="102" spans="1:3">
      <c r="A102" s="1"/>
      <c r="B102" s="3"/>
      <c r="C102" s="9"/>
    </row>
    <row r="103" spans="1:3">
      <c r="A103" s="1"/>
      <c r="B103" s="3"/>
      <c r="C103" s="9"/>
    </row>
    <row r="104" spans="1:3">
      <c r="A104" s="1"/>
      <c r="B104" s="3"/>
      <c r="C104" s="9"/>
    </row>
    <row r="105" spans="1:3">
      <c r="A105" s="1"/>
      <c r="B105" s="3"/>
      <c r="C105" s="9"/>
    </row>
    <row r="106" spans="1:3">
      <c r="A106" s="1"/>
      <c r="B106" s="3"/>
      <c r="C106" s="9"/>
    </row>
    <row r="107" spans="1:3">
      <c r="A107" s="1"/>
      <c r="B107" s="3"/>
      <c r="C107" s="9"/>
    </row>
    <row r="108" spans="1:3">
      <c r="A108" s="1"/>
      <c r="B108" s="3"/>
      <c r="C108" s="9"/>
    </row>
    <row r="109" spans="1:3">
      <c r="A109" s="1"/>
      <c r="B109" s="3"/>
      <c r="C109" s="9"/>
    </row>
    <row r="110" spans="1:3">
      <c r="A110" s="1"/>
      <c r="B110" s="3"/>
      <c r="C110" s="9"/>
    </row>
    <row r="111" spans="1:3">
      <c r="A111" s="1"/>
      <c r="B111" s="3"/>
      <c r="C111" s="9"/>
    </row>
    <row r="112" spans="1:3">
      <c r="A112" s="1"/>
      <c r="B112" s="3"/>
      <c r="C112" s="9"/>
    </row>
    <row r="113" spans="1:3">
      <c r="A113" s="1"/>
      <c r="B113" s="3"/>
      <c r="C113" s="9"/>
    </row>
    <row r="114" spans="1:3">
      <c r="A114" s="1"/>
      <c r="B114" s="3"/>
      <c r="C114" s="9"/>
    </row>
    <row r="115" spans="1:3">
      <c r="A115" s="1"/>
      <c r="B115" s="3"/>
      <c r="C115" s="9"/>
    </row>
    <row r="116" spans="1:3">
      <c r="A116" s="1"/>
      <c r="B116" s="3"/>
      <c r="C116" s="9"/>
    </row>
    <row r="117" spans="1:3">
      <c r="A117" s="1"/>
      <c r="B117" s="3"/>
      <c r="C117" s="9"/>
    </row>
    <row r="118" spans="1:3">
      <c r="A118" s="1"/>
      <c r="B118" s="3"/>
      <c r="C118" s="9"/>
    </row>
    <row r="119" spans="1:3">
      <c r="A119" s="1"/>
      <c r="B119" s="3"/>
      <c r="C119" s="9"/>
    </row>
  </sheetData>
  <mergeCells count="11">
    <mergeCell ref="C16:P16"/>
    <mergeCell ref="C17:P17"/>
    <mergeCell ref="A4:B4"/>
    <mergeCell ref="A8:P8"/>
    <mergeCell ref="E1:H1"/>
    <mergeCell ref="E2:H2"/>
    <mergeCell ref="I1:L1"/>
    <mergeCell ref="I2:L2"/>
    <mergeCell ref="M1:P1"/>
    <mergeCell ref="M2:P2"/>
    <mergeCell ref="C12:P12"/>
  </mergeCells>
  <printOptions horizontalCentered="1"/>
  <pageMargins left="0.25" right="0.25" top="0.75" bottom="0.75" header="0.5" footer="0.5"/>
  <pageSetup paperSize="5" scale="95" orientation="landscape" r:id="rId1"/>
  <headerFooter alignWithMargins="0">
    <oddHeader>&amp;L&amp;8Appendix C - Inventory Summary - NRC</oddHeader>
    <oddFooter>&amp;C&amp;8Page 1 of 2&amp;R&amp;8-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workbookViewId="0">
      <selection activeCell="A2" sqref="A2"/>
    </sheetView>
  </sheetViews>
  <sheetFormatPr defaultRowHeight="12.75"/>
  <cols>
    <col min="1" max="1" width="5.85546875" bestFit="1" customWidth="1"/>
    <col min="2" max="2" width="37" style="4" customWidth="1"/>
    <col min="3" max="3" width="16.85546875" bestFit="1" customWidth="1"/>
    <col min="4" max="4" width="10.28515625" customWidth="1"/>
    <col min="9" max="9" width="10.42578125" customWidth="1"/>
  </cols>
  <sheetData>
    <row r="1" spans="1:11">
      <c r="A1" s="43"/>
      <c r="B1" s="44"/>
      <c r="C1" s="43"/>
      <c r="D1" s="34"/>
      <c r="E1" s="70" t="s">
        <v>45</v>
      </c>
      <c r="F1" s="71"/>
      <c r="G1" s="71"/>
      <c r="H1" s="71"/>
      <c r="I1" s="71"/>
      <c r="J1" s="71"/>
      <c r="K1" s="72"/>
    </row>
    <row r="2" spans="1:11">
      <c r="A2" s="43"/>
      <c r="B2" s="44"/>
      <c r="C2" s="43"/>
      <c r="D2" s="45"/>
      <c r="E2" s="70" t="s">
        <v>43</v>
      </c>
      <c r="F2" s="71"/>
      <c r="G2" s="71"/>
      <c r="H2" s="71"/>
      <c r="I2" s="71"/>
      <c r="J2" s="71"/>
      <c r="K2" s="72"/>
    </row>
    <row r="3" spans="1:11" s="4" customFormat="1" ht="25.5">
      <c r="A3" s="17"/>
      <c r="B3" s="17"/>
      <c r="C3" s="17" t="s">
        <v>19</v>
      </c>
      <c r="D3" s="13" t="s">
        <v>26</v>
      </c>
      <c r="E3" s="35" t="s">
        <v>20</v>
      </c>
      <c r="F3" s="36" t="s">
        <v>21</v>
      </c>
      <c r="G3" s="37" t="s">
        <v>27</v>
      </c>
      <c r="H3" s="36" t="s">
        <v>22</v>
      </c>
      <c r="I3" s="37" t="s">
        <v>49</v>
      </c>
      <c r="J3" s="36" t="s">
        <v>23</v>
      </c>
      <c r="K3" s="38" t="s">
        <v>24</v>
      </c>
    </row>
    <row r="4" spans="1:11">
      <c r="A4" s="59" t="s">
        <v>25</v>
      </c>
      <c r="B4" s="59"/>
      <c r="C4" s="16"/>
      <c r="D4" s="14"/>
      <c r="E4" s="39"/>
      <c r="F4" s="40"/>
      <c r="G4" s="40"/>
      <c r="H4" s="40"/>
      <c r="I4" s="40"/>
      <c r="J4" s="40"/>
      <c r="K4" s="41"/>
    </row>
    <row r="5" spans="1:11">
      <c r="A5" s="5" t="s">
        <v>10</v>
      </c>
      <c r="B5" s="6" t="s">
        <v>11</v>
      </c>
      <c r="C5" s="11">
        <v>22592248</v>
      </c>
      <c r="D5" s="12">
        <f>C5/199679758.27</f>
        <v>0.11314240459692239</v>
      </c>
      <c r="E5" s="26">
        <f>4172797.93/C5</f>
        <v>0.18470043043082743</v>
      </c>
      <c r="F5" s="27">
        <f>1343060.49/C5</f>
        <v>5.9447846447153022E-2</v>
      </c>
      <c r="G5" s="27">
        <f>997690/C5</f>
        <v>4.4160722739941594E-2</v>
      </c>
      <c r="H5" s="27">
        <f>75000/C5</f>
        <v>3.3197227650829612E-3</v>
      </c>
      <c r="I5" s="27">
        <f>75000/C5</f>
        <v>3.3197227650829612E-3</v>
      </c>
      <c r="J5" s="27">
        <v>0</v>
      </c>
      <c r="K5" s="12">
        <f>1081877.3/C5</f>
        <v>4.7887102691153177E-2</v>
      </c>
    </row>
    <row r="6" spans="1:11" ht="25.5">
      <c r="A6" s="18" t="s">
        <v>8</v>
      </c>
      <c r="B6" s="19" t="s">
        <v>9</v>
      </c>
      <c r="C6" s="16">
        <v>5503742</v>
      </c>
      <c r="D6" s="12">
        <f t="shared" ref="D6:D7" si="0">C6/199679758.27</f>
        <v>2.7562843864013656E-2</v>
      </c>
      <c r="E6" s="26">
        <f>4420341.44/C6</f>
        <v>0.80315200821550148</v>
      </c>
      <c r="F6" s="27">
        <f>4297941.44/C6</f>
        <v>0.78091259364992038</v>
      </c>
      <c r="G6" s="27">
        <f>4297941.44/C6</f>
        <v>0.78091259364992038</v>
      </c>
      <c r="H6" s="27">
        <f>127099/C6</f>
        <v>2.3093197319205734E-2</v>
      </c>
      <c r="I6" s="27">
        <f>127099/C6</f>
        <v>2.3093197319205734E-2</v>
      </c>
      <c r="J6" s="27">
        <v>0</v>
      </c>
      <c r="K6" s="12">
        <f>185000/C6</f>
        <v>3.3613494237193529E-2</v>
      </c>
    </row>
    <row r="7" spans="1:11" ht="25.5">
      <c r="A7" s="5" t="s">
        <v>2</v>
      </c>
      <c r="B7" s="6" t="s">
        <v>3</v>
      </c>
      <c r="C7" s="51">
        <v>4973562.3099999996</v>
      </c>
      <c r="D7" s="12">
        <f t="shared" si="0"/>
        <v>2.4907693965028354E-2</v>
      </c>
      <c r="E7" s="26">
        <f>55228/C7</f>
        <v>1.1104314484802343E-2</v>
      </c>
      <c r="F7" s="27">
        <f>55228/C7</f>
        <v>1.1104314484802343E-2</v>
      </c>
      <c r="G7" s="27">
        <f>55228/C7</f>
        <v>1.1104314484802343E-2</v>
      </c>
      <c r="H7" s="27">
        <v>0</v>
      </c>
      <c r="I7" s="27">
        <v>0</v>
      </c>
      <c r="J7" s="27">
        <v>0</v>
      </c>
      <c r="K7" s="12">
        <f>55228/C7</f>
        <v>1.1104314484802343E-2</v>
      </c>
    </row>
    <row r="8" spans="1:1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>
      <c r="A9" s="42" t="s">
        <v>18</v>
      </c>
      <c r="K9" s="45"/>
    </row>
    <row r="10" spans="1:11" ht="25.5">
      <c r="A10" s="5" t="s">
        <v>6</v>
      </c>
      <c r="B10" s="53" t="s">
        <v>7</v>
      </c>
      <c r="C10" s="51">
        <v>32908693.300000001</v>
      </c>
      <c r="D10" s="12">
        <f t="shared" ref="D10:D11" si="1">C10/199679758.27</f>
        <v>0.16480735746635877</v>
      </c>
      <c r="E10" s="26">
        <f>4780145.56/C10</f>
        <v>0.1452547968533287</v>
      </c>
      <c r="F10" s="27">
        <f>1089231.14/C10</f>
        <v>3.3098583710706009E-2</v>
      </c>
      <c r="G10" s="27">
        <f>1089231.14/C10</f>
        <v>3.3098583710706009E-2</v>
      </c>
      <c r="H10" s="27">
        <f>67096.51/C10</f>
        <v>2.0388688602230218E-3</v>
      </c>
      <c r="I10" s="27">
        <f>67096.51/C10</f>
        <v>2.0388688602230218E-3</v>
      </c>
      <c r="J10" s="27">
        <v>0</v>
      </c>
      <c r="K10" s="12">
        <f>827677.2/C10</f>
        <v>2.51507160267588E-2</v>
      </c>
    </row>
    <row r="11" spans="1:11">
      <c r="A11" s="5" t="s">
        <v>0</v>
      </c>
      <c r="B11" s="53" t="s">
        <v>1</v>
      </c>
      <c r="C11" s="51">
        <v>26622128.41</v>
      </c>
      <c r="D11" s="12">
        <f t="shared" si="1"/>
        <v>0.13332412178705907</v>
      </c>
      <c r="E11" s="26">
        <f>398029/C11</f>
        <v>1.4951058528081077E-2</v>
      </c>
      <c r="F11" s="27">
        <f>398029/C11</f>
        <v>1.4951058528081077E-2</v>
      </c>
      <c r="G11" s="27">
        <f>398029/C11</f>
        <v>1.4951058528081077E-2</v>
      </c>
      <c r="H11" s="27">
        <v>0</v>
      </c>
      <c r="I11" s="27">
        <v>0</v>
      </c>
      <c r="J11" s="27">
        <f>398029/C11</f>
        <v>1.4951058528081077E-2</v>
      </c>
      <c r="K11" s="12">
        <v>0</v>
      </c>
    </row>
    <row r="12" spans="1:11">
      <c r="A12" s="5" t="s">
        <v>10</v>
      </c>
      <c r="B12" s="53" t="s">
        <v>11</v>
      </c>
      <c r="C12" s="69" t="s">
        <v>46</v>
      </c>
      <c r="D12" s="57"/>
      <c r="E12" s="57"/>
      <c r="F12" s="57"/>
      <c r="G12" s="57"/>
      <c r="H12" s="57"/>
      <c r="I12" s="57"/>
      <c r="J12" s="57"/>
      <c r="K12" s="58"/>
    </row>
    <row r="13" spans="1:11">
      <c r="A13" s="5" t="s">
        <v>16</v>
      </c>
      <c r="B13" s="53" t="s">
        <v>17</v>
      </c>
      <c r="C13" s="51">
        <v>12503613</v>
      </c>
      <c r="D13" s="12">
        <f t="shared" ref="D13:D15" si="2">C13/199679758.27</f>
        <v>6.2618330011663226E-2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12">
        <v>0</v>
      </c>
    </row>
    <row r="14" spans="1:11">
      <c r="A14" s="5" t="s">
        <v>12</v>
      </c>
      <c r="B14" s="53" t="s">
        <v>13</v>
      </c>
      <c r="C14" s="51">
        <v>8273346.2999999998</v>
      </c>
      <c r="D14" s="12">
        <f t="shared" si="2"/>
        <v>4.143307449728114E-2</v>
      </c>
      <c r="E14" s="26">
        <f>4528791.38/C14</f>
        <v>0.54739536044804504</v>
      </c>
      <c r="F14" s="27">
        <f>341320/C14</f>
        <v>4.12553745030593E-2</v>
      </c>
      <c r="G14" s="27">
        <f>341320/C14</f>
        <v>4.12553745030593E-2</v>
      </c>
      <c r="H14" s="27">
        <f>111000/C14</f>
        <v>1.3416578488924125E-2</v>
      </c>
      <c r="I14" s="27">
        <v>0</v>
      </c>
      <c r="J14" s="27">
        <v>0</v>
      </c>
      <c r="K14" s="12">
        <f>95504/C14</f>
        <v>1.1543575783839726E-2</v>
      </c>
    </row>
    <row r="15" spans="1:11" ht="25.5">
      <c r="A15" s="5" t="s">
        <v>14</v>
      </c>
      <c r="B15" s="53" t="s">
        <v>15</v>
      </c>
      <c r="C15" s="51">
        <v>6440483.6200000001</v>
      </c>
      <c r="D15" s="12">
        <f t="shared" si="2"/>
        <v>3.2254063585610927E-2</v>
      </c>
      <c r="E15" s="26">
        <f>6377319.62/C15</f>
        <v>0.99019266196037625</v>
      </c>
      <c r="F15" s="27">
        <f>5833115.37/C15</f>
        <v>0.90569524187377715</v>
      </c>
      <c r="G15" s="27">
        <f>5751255.08/C15</f>
        <v>0.8929849712124569</v>
      </c>
      <c r="H15" s="27">
        <f>332806/C15</f>
        <v>5.1674069780492667E-2</v>
      </c>
      <c r="I15" s="27">
        <f>332806/C15</f>
        <v>5.1674069780492667E-2</v>
      </c>
      <c r="J15" s="27">
        <f>4569072.56/C15</f>
        <v>0.70943004121792941</v>
      </c>
      <c r="K15" s="12">
        <f>523980.16/C14</f>
        <v>6.3333522011522717E-2</v>
      </c>
    </row>
    <row r="16" spans="1:11" ht="25.5">
      <c r="A16" s="5" t="s">
        <v>8</v>
      </c>
      <c r="B16" s="53" t="s">
        <v>9</v>
      </c>
      <c r="C16" s="69" t="s">
        <v>46</v>
      </c>
      <c r="D16" s="57"/>
      <c r="E16" s="57"/>
      <c r="F16" s="57"/>
      <c r="G16" s="57"/>
      <c r="H16" s="57"/>
      <c r="I16" s="57"/>
      <c r="J16" s="57"/>
      <c r="K16" s="58"/>
    </row>
    <row r="17" spans="1:11" ht="25.5">
      <c r="A17" s="5" t="s">
        <v>2</v>
      </c>
      <c r="B17" s="53" t="s">
        <v>3</v>
      </c>
      <c r="C17" s="69" t="s">
        <v>46</v>
      </c>
      <c r="D17" s="57"/>
      <c r="E17" s="57"/>
      <c r="F17" s="57"/>
      <c r="G17" s="57"/>
      <c r="H17" s="57"/>
      <c r="I17" s="57"/>
      <c r="J17" s="57"/>
      <c r="K17" s="58"/>
    </row>
    <row r="18" spans="1:11" ht="25.5">
      <c r="A18" s="5" t="s">
        <v>47</v>
      </c>
      <c r="B18" s="53" t="s">
        <v>48</v>
      </c>
      <c r="C18" s="51">
        <v>4897098.29</v>
      </c>
      <c r="D18" s="12">
        <f t="shared" ref="D18:D19" si="3">C18/199679758.27</f>
        <v>2.4524760708986407E-2</v>
      </c>
      <c r="E18" s="26">
        <f>4656937.44/C18</f>
        <v>0.95095853998062196</v>
      </c>
      <c r="F18" s="27">
        <f>4612000/C18</f>
        <v>0.94178219976058519</v>
      </c>
      <c r="G18" s="27">
        <f>4612000/C18</f>
        <v>0.94178219976058519</v>
      </c>
      <c r="H18" s="27">
        <v>0</v>
      </c>
      <c r="I18" s="27">
        <v>0</v>
      </c>
      <c r="J18" s="27">
        <v>0</v>
      </c>
      <c r="K18" s="12">
        <f>4612000/C18</f>
        <v>0.94178219976058519</v>
      </c>
    </row>
    <row r="19" spans="1:11" ht="13.5" thickBot="1">
      <c r="A19" s="7" t="s">
        <v>4</v>
      </c>
      <c r="B19" s="54" t="s">
        <v>5</v>
      </c>
      <c r="C19" s="52">
        <v>3244302.31</v>
      </c>
      <c r="D19" s="30">
        <f t="shared" si="3"/>
        <v>1.6247527231143616E-2</v>
      </c>
      <c r="E19" s="28">
        <f>923780.31/C19</f>
        <v>0.28473928189509567</v>
      </c>
      <c r="F19" s="29">
        <f>178469.81/C19</f>
        <v>5.5010228069652362E-2</v>
      </c>
      <c r="G19" s="29">
        <v>0</v>
      </c>
      <c r="H19" s="29">
        <f>299519.22/C19</f>
        <v>9.232161228526202E-2</v>
      </c>
      <c r="I19" s="29">
        <f>67239.84/C19</f>
        <v>2.0725516174231001E-2</v>
      </c>
      <c r="J19" s="29">
        <v>0</v>
      </c>
      <c r="K19" s="30">
        <f>205523.65/C19</f>
        <v>6.3349105712654744E-2</v>
      </c>
    </row>
    <row r="20" spans="1:11">
      <c r="A20" s="1"/>
      <c r="B20" s="3"/>
      <c r="C20" s="2"/>
    </row>
    <row r="21" spans="1:11">
      <c r="A21" s="1"/>
      <c r="B21" s="3"/>
      <c r="C21" s="2"/>
    </row>
    <row r="22" spans="1:11">
      <c r="A22" s="1"/>
      <c r="B22" s="3"/>
      <c r="C22" s="2"/>
    </row>
    <row r="23" spans="1:11">
      <c r="A23" s="1"/>
      <c r="B23" s="3"/>
      <c r="C23" s="2"/>
    </row>
    <row r="24" spans="1:11">
      <c r="A24" s="1"/>
      <c r="B24" s="3"/>
      <c r="C24" s="2"/>
    </row>
    <row r="25" spans="1:11">
      <c r="A25" s="1"/>
      <c r="B25" s="3"/>
      <c r="C25" s="2"/>
    </row>
    <row r="26" spans="1:11">
      <c r="A26" s="1"/>
      <c r="B26" s="3"/>
      <c r="C26" s="2"/>
    </row>
    <row r="27" spans="1:11">
      <c r="A27" s="1"/>
      <c r="B27" s="3"/>
      <c r="C27" s="2"/>
    </row>
    <row r="28" spans="1:11">
      <c r="A28" s="1"/>
      <c r="B28" s="3"/>
      <c r="C28" s="2"/>
    </row>
    <row r="29" spans="1:11">
      <c r="A29" s="1"/>
      <c r="B29" s="3"/>
      <c r="C29" s="2"/>
    </row>
    <row r="30" spans="1:11">
      <c r="A30" s="1"/>
      <c r="B30" s="3"/>
      <c r="C30" s="2"/>
    </row>
    <row r="31" spans="1:11">
      <c r="A31" s="1"/>
      <c r="B31" s="3"/>
      <c r="C31" s="2"/>
    </row>
    <row r="32" spans="1:11">
      <c r="A32" s="1"/>
      <c r="B32" s="3"/>
      <c r="C32" s="2"/>
    </row>
    <row r="33" spans="1:3">
      <c r="A33" s="1"/>
      <c r="B33" s="3"/>
      <c r="C33" s="2"/>
    </row>
    <row r="34" spans="1:3">
      <c r="A34" s="1"/>
      <c r="B34" s="3"/>
      <c r="C34" s="2"/>
    </row>
    <row r="35" spans="1:3">
      <c r="A35" s="1"/>
      <c r="B35" s="3"/>
      <c r="C35" s="2"/>
    </row>
    <row r="36" spans="1:3">
      <c r="A36" s="1"/>
      <c r="B36" s="3"/>
      <c r="C36" s="2"/>
    </row>
    <row r="37" spans="1:3">
      <c r="A37" s="1"/>
      <c r="B37" s="3"/>
      <c r="C37" s="2"/>
    </row>
    <row r="38" spans="1:3">
      <c r="A38" s="1"/>
      <c r="B38" s="3"/>
      <c r="C38" s="2"/>
    </row>
    <row r="39" spans="1:3">
      <c r="A39" s="1"/>
      <c r="B39" s="3"/>
      <c r="C39" s="2"/>
    </row>
    <row r="40" spans="1:3">
      <c r="A40" s="1"/>
      <c r="B40" s="3"/>
      <c r="C40" s="2"/>
    </row>
    <row r="41" spans="1:3">
      <c r="A41" s="1"/>
      <c r="B41" s="3"/>
      <c r="C41" s="2"/>
    </row>
    <row r="42" spans="1:3">
      <c r="A42" s="1"/>
      <c r="B42" s="3"/>
      <c r="C42" s="2"/>
    </row>
    <row r="43" spans="1:3">
      <c r="A43" s="1"/>
      <c r="B43" s="3"/>
      <c r="C43" s="2"/>
    </row>
    <row r="44" spans="1:3">
      <c r="A44" s="1"/>
      <c r="B44" s="3"/>
      <c r="C44" s="2"/>
    </row>
    <row r="45" spans="1:3">
      <c r="A45" s="1"/>
      <c r="B45" s="3"/>
      <c r="C45" s="2"/>
    </row>
    <row r="46" spans="1:3">
      <c r="A46" s="1"/>
      <c r="B46" s="3"/>
      <c r="C46" s="2"/>
    </row>
    <row r="47" spans="1:3">
      <c r="A47" s="1"/>
      <c r="B47" s="3"/>
      <c r="C47" s="2"/>
    </row>
    <row r="48" spans="1:3">
      <c r="A48" s="1"/>
      <c r="B48" s="3"/>
      <c r="C48" s="2"/>
    </row>
    <row r="49" spans="1:3">
      <c r="A49" s="1"/>
      <c r="B49" s="3"/>
      <c r="C49" s="2"/>
    </row>
    <row r="50" spans="1:3">
      <c r="A50" s="1"/>
      <c r="B50" s="3"/>
      <c r="C50" s="2"/>
    </row>
    <row r="51" spans="1:3">
      <c r="A51" s="1"/>
      <c r="B51" s="3"/>
      <c r="C51" s="2"/>
    </row>
    <row r="52" spans="1:3">
      <c r="A52" s="1"/>
      <c r="B52" s="3"/>
      <c r="C52" s="2"/>
    </row>
    <row r="53" spans="1:3">
      <c r="A53" s="1"/>
      <c r="B53" s="3"/>
      <c r="C53" s="2"/>
    </row>
    <row r="54" spans="1:3">
      <c r="A54" s="1"/>
      <c r="B54" s="3"/>
      <c r="C54" s="2"/>
    </row>
    <row r="55" spans="1:3">
      <c r="A55" s="1"/>
      <c r="B55" s="3"/>
      <c r="C55" s="2"/>
    </row>
    <row r="56" spans="1:3">
      <c r="A56" s="1"/>
      <c r="B56" s="3"/>
      <c r="C56" s="2"/>
    </row>
    <row r="57" spans="1:3">
      <c r="A57" s="1"/>
      <c r="B57" s="3"/>
      <c r="C57" s="2"/>
    </row>
    <row r="58" spans="1:3">
      <c r="A58" s="1"/>
      <c r="B58" s="3"/>
      <c r="C58" s="2"/>
    </row>
    <row r="59" spans="1:3">
      <c r="A59" s="1"/>
      <c r="B59" s="3"/>
      <c r="C59" s="2"/>
    </row>
    <row r="60" spans="1:3">
      <c r="A60" s="1"/>
      <c r="B60" s="3"/>
      <c r="C60" s="2"/>
    </row>
    <row r="61" spans="1:3">
      <c r="A61" s="1"/>
      <c r="B61" s="3"/>
      <c r="C61" s="2"/>
    </row>
    <row r="62" spans="1:3">
      <c r="A62" s="1"/>
      <c r="B62" s="3"/>
      <c r="C62" s="2"/>
    </row>
    <row r="63" spans="1:3">
      <c r="A63" s="1"/>
      <c r="B63" s="3"/>
      <c r="C63" s="2"/>
    </row>
    <row r="64" spans="1:3">
      <c r="A64" s="1"/>
      <c r="B64" s="3"/>
      <c r="C64" s="2"/>
    </row>
    <row r="65" spans="1:3">
      <c r="A65" s="1"/>
      <c r="B65" s="3"/>
      <c r="C65" s="2"/>
    </row>
    <row r="66" spans="1:3">
      <c r="A66" s="1"/>
      <c r="B66" s="3"/>
      <c r="C66" s="2"/>
    </row>
    <row r="67" spans="1:3">
      <c r="A67" s="1"/>
      <c r="B67" s="3"/>
      <c r="C67" s="2"/>
    </row>
    <row r="68" spans="1:3">
      <c r="A68" s="1"/>
      <c r="B68" s="3"/>
      <c r="C68" s="2"/>
    </row>
    <row r="69" spans="1:3">
      <c r="A69" s="1"/>
      <c r="B69" s="3"/>
      <c r="C69" s="2"/>
    </row>
    <row r="70" spans="1:3">
      <c r="A70" s="1"/>
      <c r="B70" s="3"/>
      <c r="C70" s="2"/>
    </row>
    <row r="71" spans="1:3">
      <c r="A71" s="1"/>
      <c r="B71" s="3"/>
      <c r="C71" s="2"/>
    </row>
    <row r="72" spans="1:3">
      <c r="A72" s="1"/>
      <c r="B72" s="3"/>
      <c r="C72" s="2"/>
    </row>
    <row r="73" spans="1:3">
      <c r="A73" s="1"/>
      <c r="B73" s="3"/>
      <c r="C73" s="2"/>
    </row>
    <row r="74" spans="1:3">
      <c r="A74" s="1"/>
      <c r="B74" s="3"/>
      <c r="C74" s="2"/>
    </row>
    <row r="75" spans="1:3">
      <c r="A75" s="1"/>
      <c r="B75" s="3"/>
      <c r="C75" s="2"/>
    </row>
    <row r="76" spans="1:3">
      <c r="A76" s="1"/>
      <c r="B76" s="3"/>
      <c r="C76" s="2"/>
    </row>
    <row r="77" spans="1:3">
      <c r="A77" s="1"/>
      <c r="B77" s="3"/>
      <c r="C77" s="2"/>
    </row>
    <row r="78" spans="1:3">
      <c r="A78" s="1"/>
      <c r="B78" s="3"/>
      <c r="C78" s="2"/>
    </row>
    <row r="79" spans="1:3">
      <c r="A79" s="1"/>
      <c r="B79" s="3"/>
      <c r="C79" s="2"/>
    </row>
    <row r="80" spans="1:3">
      <c r="A80" s="1"/>
      <c r="B80" s="3"/>
      <c r="C80" s="2"/>
    </row>
    <row r="81" spans="1:3">
      <c r="A81" s="1"/>
      <c r="B81" s="3"/>
      <c r="C81" s="2"/>
    </row>
    <row r="82" spans="1:3">
      <c r="A82" s="1"/>
      <c r="B82" s="3"/>
      <c r="C82" s="2"/>
    </row>
    <row r="83" spans="1:3">
      <c r="A83" s="1"/>
      <c r="B83" s="3"/>
      <c r="C83" s="2"/>
    </row>
    <row r="84" spans="1:3">
      <c r="A84" s="1"/>
      <c r="B84" s="3"/>
      <c r="C84" s="2"/>
    </row>
    <row r="85" spans="1:3">
      <c r="A85" s="1"/>
      <c r="B85" s="3"/>
      <c r="C85" s="2"/>
    </row>
    <row r="86" spans="1:3">
      <c r="A86" s="1"/>
      <c r="B86" s="3"/>
      <c r="C86" s="2"/>
    </row>
    <row r="87" spans="1:3">
      <c r="A87" s="1"/>
      <c r="B87" s="3"/>
      <c r="C87" s="2"/>
    </row>
    <row r="88" spans="1:3">
      <c r="A88" s="1"/>
      <c r="B88" s="3"/>
      <c r="C88" s="2"/>
    </row>
    <row r="89" spans="1:3">
      <c r="A89" s="1"/>
      <c r="B89" s="3"/>
      <c r="C89" s="2"/>
    </row>
    <row r="90" spans="1:3">
      <c r="A90" s="1"/>
      <c r="B90" s="3"/>
      <c r="C90" s="2"/>
    </row>
    <row r="91" spans="1:3">
      <c r="A91" s="1"/>
      <c r="B91" s="3"/>
      <c r="C91" s="2"/>
    </row>
    <row r="92" spans="1:3">
      <c r="A92" s="1"/>
      <c r="B92" s="3"/>
      <c r="C92" s="2"/>
    </row>
    <row r="93" spans="1:3">
      <c r="A93" s="1"/>
      <c r="B93" s="3"/>
      <c r="C93" s="2"/>
    </row>
    <row r="94" spans="1:3">
      <c r="A94" s="1"/>
      <c r="B94" s="3"/>
      <c r="C94" s="2"/>
    </row>
    <row r="95" spans="1:3">
      <c r="A95" s="1"/>
      <c r="B95" s="3"/>
      <c r="C95" s="2"/>
    </row>
    <row r="96" spans="1:3">
      <c r="A96" s="1"/>
      <c r="B96" s="3"/>
      <c r="C96" s="2"/>
    </row>
    <row r="97" spans="1:3">
      <c r="A97" s="1"/>
      <c r="B97" s="3"/>
      <c r="C97" s="2"/>
    </row>
    <row r="98" spans="1:3">
      <c r="A98" s="1"/>
      <c r="B98" s="3"/>
      <c r="C98" s="2"/>
    </row>
    <row r="99" spans="1:3">
      <c r="A99" s="1"/>
      <c r="B99" s="3"/>
      <c r="C99" s="2"/>
    </row>
    <row r="100" spans="1:3">
      <c r="A100" s="1"/>
      <c r="B100" s="3"/>
      <c r="C100" s="2"/>
    </row>
    <row r="101" spans="1:3">
      <c r="A101" s="1"/>
      <c r="B101" s="3"/>
      <c r="C101" s="2"/>
    </row>
    <row r="102" spans="1:3">
      <c r="A102" s="1"/>
      <c r="B102" s="3"/>
      <c r="C102" s="2"/>
    </row>
    <row r="103" spans="1:3">
      <c r="A103" s="1"/>
      <c r="B103" s="3"/>
      <c r="C103" s="2"/>
    </row>
    <row r="104" spans="1:3">
      <c r="A104" s="1"/>
      <c r="B104" s="3"/>
      <c r="C104" s="2"/>
    </row>
    <row r="105" spans="1:3">
      <c r="A105" s="1"/>
      <c r="B105" s="3"/>
      <c r="C105" s="2"/>
    </row>
    <row r="106" spans="1:3">
      <c r="A106" s="1"/>
      <c r="B106" s="3"/>
      <c r="C106" s="2"/>
    </row>
    <row r="107" spans="1:3">
      <c r="A107" s="1"/>
      <c r="B107" s="3"/>
      <c r="C107" s="2"/>
    </row>
    <row r="108" spans="1:3">
      <c r="A108" s="1"/>
      <c r="B108" s="3"/>
      <c r="C108" s="2"/>
    </row>
    <row r="109" spans="1:3">
      <c r="A109" s="1"/>
      <c r="B109" s="3"/>
      <c r="C109" s="2"/>
    </row>
    <row r="110" spans="1:3">
      <c r="A110" s="1"/>
      <c r="B110" s="3"/>
      <c r="C110" s="2"/>
    </row>
    <row r="111" spans="1:3">
      <c r="A111" s="1"/>
      <c r="B111" s="3"/>
      <c r="C111" s="2"/>
    </row>
    <row r="112" spans="1:3">
      <c r="A112" s="1"/>
      <c r="B112" s="3"/>
      <c r="C112" s="2"/>
    </row>
    <row r="113" spans="1:3">
      <c r="A113" s="1"/>
      <c r="B113" s="3"/>
      <c r="C113" s="2"/>
    </row>
    <row r="114" spans="1:3">
      <c r="A114" s="1"/>
      <c r="B114" s="3"/>
      <c r="C114" s="2"/>
    </row>
    <row r="115" spans="1:3">
      <c r="A115" s="1"/>
      <c r="B115" s="3"/>
      <c r="C115" s="2"/>
    </row>
    <row r="116" spans="1:3">
      <c r="A116" s="1"/>
      <c r="B116" s="3"/>
      <c r="C116" s="2"/>
    </row>
    <row r="117" spans="1:3">
      <c r="A117" s="1"/>
      <c r="B117" s="3"/>
      <c r="C117" s="2"/>
    </row>
    <row r="118" spans="1:3">
      <c r="A118" s="1"/>
      <c r="B118" s="3"/>
      <c r="C118" s="2"/>
    </row>
    <row r="119" spans="1:3">
      <c r="A119" s="1"/>
      <c r="B119" s="3"/>
      <c r="C119" s="2"/>
    </row>
  </sheetData>
  <sortState ref="A2:E110">
    <sortCondition descending="1" ref="C2:C110"/>
    <sortCondition ref="A2:A110"/>
  </sortState>
  <mergeCells count="7">
    <mergeCell ref="C16:K16"/>
    <mergeCell ref="C17:K17"/>
    <mergeCell ref="A4:B4"/>
    <mergeCell ref="E1:K1"/>
    <mergeCell ref="E2:K2"/>
    <mergeCell ref="A8:K8"/>
    <mergeCell ref="C12:K12"/>
  </mergeCells>
  <printOptions horizontalCentered="1"/>
  <pageMargins left="0.25" right="0.25" top="0.75" bottom="0.75" header="0.5" footer="0.5"/>
  <pageSetup paperSize="5" scale="95" orientation="landscape" horizontalDpi="300" verticalDpi="300" r:id="rId1"/>
  <headerFooter alignWithMargins="0">
    <oddHeader>&amp;L&amp;8Appendix C: Inventory Summary - NRC</oddHeader>
    <oddFooter>&amp;C&amp;8Page 2 of 2&amp;R&amp;8-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Type, Competition, Time</vt:lpstr>
      <vt:lpstr>Small Business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LSK1</cp:lastModifiedBy>
  <cp:lastPrinted>2011-12-05T19:10:13Z</cp:lastPrinted>
  <dcterms:created xsi:type="dcterms:W3CDTF">2010-11-24T14:49:02Z</dcterms:created>
  <dcterms:modified xsi:type="dcterms:W3CDTF">2012-07-16T19:57:42Z</dcterms:modified>
</cp:coreProperties>
</file>