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70" windowWidth="14940" windowHeight="9150"/>
  </bookViews>
  <sheets>
    <sheet name="Type, Competition, Time" sheetId="2" r:id="rId1"/>
    <sheet name="Small Business" sheetId="1" r:id="rId2"/>
  </sheets>
  <calcPr calcId="125725"/>
</workbook>
</file>

<file path=xl/calcChain.xml><?xml version="1.0" encoding="utf-8"?>
<calcChain xmlns="http://schemas.openxmlformats.org/spreadsheetml/2006/main">
  <c r="K5" i="1"/>
  <c r="I5"/>
  <c r="H5"/>
  <c r="G5"/>
  <c r="F5"/>
  <c r="E5"/>
  <c r="D5"/>
  <c r="P5" i="2"/>
  <c r="O5"/>
  <c r="N5"/>
  <c r="M5"/>
  <c r="K5"/>
  <c r="J5"/>
  <c r="I5"/>
  <c r="G5"/>
  <c r="E5"/>
  <c r="D5"/>
  <c r="K8" i="1"/>
  <c r="J11"/>
  <c r="I9"/>
  <c r="H9"/>
  <c r="H8"/>
  <c r="G10"/>
  <c r="G9"/>
  <c r="G8"/>
  <c r="F11"/>
  <c r="F10"/>
  <c r="F9"/>
  <c r="F8"/>
  <c r="E13"/>
  <c r="E11"/>
  <c r="E10"/>
  <c r="E9"/>
  <c r="E8"/>
  <c r="L10" i="2"/>
  <c r="K14"/>
  <c r="K13"/>
  <c r="K11"/>
  <c r="K9"/>
  <c r="K8"/>
  <c r="J14"/>
  <c r="J13"/>
  <c r="J10"/>
  <c r="J9"/>
  <c r="I14"/>
  <c r="I13"/>
  <c r="I12"/>
  <c r="I11"/>
  <c r="I10"/>
  <c r="I9"/>
  <c r="I8"/>
  <c r="G13"/>
  <c r="G12"/>
  <c r="G10"/>
  <c r="G9"/>
  <c r="G8"/>
  <c r="F13"/>
  <c r="F10"/>
  <c r="F9"/>
  <c r="E14"/>
  <c r="E11"/>
  <c r="E10"/>
  <c r="E9"/>
  <c r="E8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O8"/>
  <c r="N8"/>
  <c r="M8"/>
  <c r="P8"/>
  <c r="K13" i="1"/>
  <c r="F13"/>
  <c r="G13"/>
  <c r="P15" i="2"/>
  <c r="N15"/>
  <c r="M15"/>
  <c r="L13"/>
  <c r="H13"/>
  <c r="E13"/>
  <c r="D16" i="1"/>
  <c r="D15"/>
  <c r="D13"/>
  <c r="P16" i="2"/>
  <c r="O16"/>
  <c r="I16"/>
  <c r="E16"/>
  <c r="D14" i="1"/>
  <c r="D12"/>
  <c r="D10"/>
  <c r="D11"/>
  <c r="D9"/>
  <c r="D8"/>
  <c r="K12"/>
  <c r="K10"/>
  <c r="K11"/>
  <c r="K9"/>
  <c r="I11"/>
  <c r="I8"/>
  <c r="H11"/>
  <c r="G12"/>
  <c r="G11"/>
  <c r="F12"/>
  <c r="E12"/>
  <c r="K12" i="2"/>
  <c r="K10"/>
  <c r="J11"/>
  <c r="L9"/>
  <c r="J8"/>
  <c r="G14"/>
  <c r="E12"/>
  <c r="H10"/>
  <c r="G11"/>
  <c r="D16"/>
  <c r="D15"/>
  <c r="D13"/>
  <c r="D14"/>
  <c r="D12"/>
  <c r="D10"/>
  <c r="D11"/>
  <c r="D9"/>
  <c r="D8"/>
  <c r="F8"/>
</calcChain>
</file>

<file path=xl/sharedStrings.xml><?xml version="1.0" encoding="utf-8"?>
<sst xmlns="http://schemas.openxmlformats.org/spreadsheetml/2006/main" count="81" uniqueCount="50">
  <si>
    <t>D302</t>
  </si>
  <si>
    <t>D313</t>
  </si>
  <si>
    <t>D399</t>
  </si>
  <si>
    <t>R421</t>
  </si>
  <si>
    <t>TECHNICAL ASSISTANCE</t>
  </si>
  <si>
    <t>R499</t>
  </si>
  <si>
    <t>R699</t>
  </si>
  <si>
    <t>S206</t>
  </si>
  <si>
    <t>Biggest Percentage of Obligations</t>
  </si>
  <si>
    <t>Obligations</t>
  </si>
  <si>
    <t>Small Business</t>
  </si>
  <si>
    <t>SDB</t>
  </si>
  <si>
    <t>VOSB</t>
  </si>
  <si>
    <t>HUBZone</t>
  </si>
  <si>
    <t>WOSB</t>
  </si>
  <si>
    <t>Special Interest Functions</t>
  </si>
  <si>
    <t>% Total Obligations</t>
  </si>
  <si>
    <t>8(a) Program</t>
  </si>
  <si>
    <t>Fixed Price</t>
  </si>
  <si>
    <t>Cost</t>
  </si>
  <si>
    <t>T&amp;M/LH</t>
  </si>
  <si>
    <t>Other</t>
  </si>
  <si>
    <t>Competed</t>
  </si>
  <si>
    <t>Not Competed</t>
  </si>
  <si>
    <t>blank</t>
  </si>
  <si>
    <t>Q1</t>
  </si>
  <si>
    <t>Q2</t>
  </si>
  <si>
    <t>Q3</t>
  </si>
  <si>
    <t>Q4</t>
  </si>
  <si>
    <t>Contract Type Analysis</t>
  </si>
  <si>
    <t>(as % of PSC Obligations)</t>
  </si>
  <si>
    <t>Competition Analysis</t>
  </si>
  <si>
    <t>(as a % of PSC Obligations)</t>
  </si>
  <si>
    <t>Time of Obligation Analysis</t>
  </si>
  <si>
    <t>Small Business Analysis</t>
  </si>
  <si>
    <t>SDVOSB</t>
  </si>
  <si>
    <t>Not Available for Comp.</t>
  </si>
  <si>
    <t>IT AND TELECOM- OTHER IT AND TELECOMMUNICATIONS</t>
  </si>
  <si>
    <t>SUPPORT- PROFESSIONAL: OTHER</t>
  </si>
  <si>
    <t>SUPPORT- ADMINISTRATIVE: OTHER</t>
  </si>
  <si>
    <t>IT AND TELECOM- SYSTEMS DEVELOPMENT</t>
  </si>
  <si>
    <t>IT AND TELECOM- COMPUTER AIDED DESIGN/COMPUTER AIDED MANUFACTURING (CAD/CAM)</t>
  </si>
  <si>
    <t>R425</t>
  </si>
  <si>
    <t>SUPPORT - PROFESSIONAL: ENGINEERING/TECHNICAL</t>
  </si>
  <si>
    <t>M111</t>
  </si>
  <si>
    <t>OPERATION OF OFFICE BUILDINGS</t>
  </si>
  <si>
    <t>HOUSEKEEPING - GUARD</t>
  </si>
  <si>
    <t>R799</t>
  </si>
  <si>
    <t>SUPPORT - MANAGEMENT: OTHER</t>
  </si>
  <si>
    <t>See Above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</si>
</sst>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%"/>
  </numFmts>
  <fonts count="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6" xfId="0" applyNumberFormat="1" applyBorder="1"/>
    <xf numFmtId="0" fontId="0" fillId="0" borderId="6" xfId="0" applyBorder="1"/>
    <xf numFmtId="165" fontId="0" fillId="0" borderId="5" xfId="0" applyNumberFormat="1" applyBorder="1"/>
    <xf numFmtId="0" fontId="0" fillId="0" borderId="11" xfId="0" applyBorder="1"/>
    <xf numFmtId="166" fontId="0" fillId="0" borderId="11" xfId="0" applyNumberFormat="1" applyBorder="1"/>
    <xf numFmtId="166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1" fillId="0" borderId="4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0" fillId="0" borderId="10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0" fillId="0" borderId="18" xfId="0" applyBorder="1"/>
    <xf numFmtId="166" fontId="0" fillId="0" borderId="18" xfId="0" applyNumberFormat="1" applyBorder="1"/>
    <xf numFmtId="166" fontId="0" fillId="0" borderId="12" xfId="0" applyNumberFormat="1" applyBorder="1"/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166" fontId="0" fillId="0" borderId="15" xfId="0" applyNumberFormat="1" applyBorder="1"/>
    <xf numFmtId="0" fontId="4" fillId="0" borderId="5" xfId="0" applyFont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166" fontId="0" fillId="0" borderId="19" xfId="0" applyNumberFormat="1" applyBorder="1"/>
    <xf numFmtId="166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1" fillId="0" borderId="13" xfId="0" applyNumberFormat="1" applyFont="1" applyBorder="1"/>
    <xf numFmtId="166" fontId="0" fillId="0" borderId="20" xfId="0" applyNumberFormat="1" applyFill="1" applyBorder="1" applyAlignment="1">
      <alignment horizontal="right"/>
    </xf>
    <xf numFmtId="166" fontId="0" fillId="0" borderId="15" xfId="0" applyNumberForma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66" fontId="1" fillId="0" borderId="21" xfId="0" applyNumberFormat="1" applyFont="1" applyBorder="1"/>
    <xf numFmtId="164" fontId="1" fillId="3" borderId="22" xfId="0" applyNumberFormat="1" applyFont="1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2" borderId="17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166" fontId="1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>
      <selection activeCell="A3" sqref="A3"/>
    </sheetView>
  </sheetViews>
  <sheetFormatPr defaultRowHeight="12.75"/>
  <cols>
    <col min="1" max="1" width="5.85546875" bestFit="1" customWidth="1"/>
    <col min="2" max="2" width="37" style="4" bestFit="1" customWidth="1"/>
    <col min="3" max="3" width="13.85546875" style="6" bestFit="1" customWidth="1"/>
    <col min="4" max="4" width="10.28515625" customWidth="1"/>
    <col min="5" max="8" width="9.140625" style="8" customWidth="1"/>
    <col min="9" max="9" width="10.42578125" style="8" customWidth="1"/>
    <col min="10" max="10" width="12.28515625" style="8" bestFit="1" customWidth="1"/>
    <col min="11" max="12" width="9.140625" style="8"/>
    <col min="13" max="13" width="12.28515625" style="8" bestFit="1" customWidth="1"/>
    <col min="14" max="16" width="9.140625" style="8"/>
  </cols>
  <sheetData>
    <row r="1" spans="1:16">
      <c r="E1" s="72" t="s">
        <v>29</v>
      </c>
      <c r="F1" s="73"/>
      <c r="G1" s="73"/>
      <c r="H1" s="74"/>
      <c r="I1" s="72" t="s">
        <v>31</v>
      </c>
      <c r="J1" s="73"/>
      <c r="K1" s="73"/>
      <c r="L1" s="74"/>
      <c r="M1" s="72" t="s">
        <v>33</v>
      </c>
      <c r="N1" s="73"/>
      <c r="O1" s="73"/>
      <c r="P1" s="74"/>
    </row>
    <row r="2" spans="1:16" ht="13.5" thickBot="1">
      <c r="E2" s="75" t="s">
        <v>30</v>
      </c>
      <c r="F2" s="76"/>
      <c r="G2" s="76"/>
      <c r="H2" s="77"/>
      <c r="I2" s="75" t="s">
        <v>32</v>
      </c>
      <c r="J2" s="76"/>
      <c r="K2" s="76"/>
      <c r="L2" s="77"/>
      <c r="M2" s="75" t="s">
        <v>30</v>
      </c>
      <c r="N2" s="76"/>
      <c r="O2" s="76"/>
      <c r="P2" s="77"/>
    </row>
    <row r="3" spans="1:16" s="4" customFormat="1" ht="38.25">
      <c r="A3" s="44"/>
      <c r="B3" s="45"/>
      <c r="C3" s="46" t="s">
        <v>9</v>
      </c>
      <c r="D3" s="47" t="s">
        <v>16</v>
      </c>
      <c r="E3" s="14" t="s">
        <v>18</v>
      </c>
      <c r="F3" s="15" t="s">
        <v>19</v>
      </c>
      <c r="G3" s="15" t="s">
        <v>20</v>
      </c>
      <c r="H3" s="16" t="s">
        <v>21</v>
      </c>
      <c r="I3" s="14" t="s">
        <v>22</v>
      </c>
      <c r="J3" s="15" t="s">
        <v>23</v>
      </c>
      <c r="K3" s="15" t="s">
        <v>36</v>
      </c>
      <c r="L3" s="16" t="s">
        <v>24</v>
      </c>
      <c r="M3" s="22" t="s">
        <v>25</v>
      </c>
      <c r="N3" s="23" t="s">
        <v>26</v>
      </c>
      <c r="O3" s="23" t="s">
        <v>27</v>
      </c>
      <c r="P3" s="24" t="s">
        <v>28</v>
      </c>
    </row>
    <row r="4" spans="1:16">
      <c r="A4" s="67" t="s">
        <v>15</v>
      </c>
      <c r="B4" s="68"/>
      <c r="C4" s="11"/>
      <c r="D4" s="12"/>
      <c r="E4" s="17"/>
      <c r="F4" s="18"/>
      <c r="G4" s="18"/>
      <c r="H4" s="9"/>
      <c r="I4" s="17"/>
      <c r="J4" s="18"/>
      <c r="K4" s="18"/>
      <c r="L4" s="9"/>
      <c r="M4" s="17"/>
      <c r="N4" s="18"/>
      <c r="O4" s="18"/>
      <c r="P4" s="9"/>
    </row>
    <row r="5" spans="1:16" ht="13.5" thickBot="1">
      <c r="A5" s="62" t="s">
        <v>47</v>
      </c>
      <c r="B5" s="43" t="s">
        <v>48</v>
      </c>
      <c r="C5" s="53">
        <v>2299380.37</v>
      </c>
      <c r="D5" s="55">
        <f t="shared" ref="D5" si="0">C5/190933960.68</f>
        <v>1.2042804547765589E-2</v>
      </c>
      <c r="E5" s="63">
        <f>1061178.02/C5</f>
        <v>0.46150607957047141</v>
      </c>
      <c r="F5" s="20">
        <v>0</v>
      </c>
      <c r="G5" s="20">
        <f>1238202.32/C5</f>
        <v>0.53849390738253544</v>
      </c>
      <c r="H5" s="21">
        <v>0</v>
      </c>
      <c r="I5" s="19">
        <f>1717689.43/C5</f>
        <v>0.74702274247909661</v>
      </c>
      <c r="J5" s="20">
        <f>303577/C5</f>
        <v>0.13202556826211401</v>
      </c>
      <c r="K5" s="20">
        <f>297274.82/C5</f>
        <v>0.12928475161332267</v>
      </c>
      <c r="L5" s="21">
        <v>0</v>
      </c>
      <c r="M5" s="19">
        <f>740938.16/C5</f>
        <v>0.32223383728373745</v>
      </c>
      <c r="N5" s="20">
        <f>241943.39/C5</f>
        <v>0.10522112528950571</v>
      </c>
      <c r="O5" s="20">
        <f>444137.97/C5</f>
        <v>0.19315550214947688</v>
      </c>
      <c r="P5" s="21">
        <f>872360.82/C5</f>
        <v>0.37938952223028671</v>
      </c>
    </row>
    <row r="6" spans="1:16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6">
      <c r="A7" s="33" t="s">
        <v>8</v>
      </c>
      <c r="B7" s="37"/>
      <c r="C7" s="38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ht="25.5">
      <c r="A8" s="5" t="s">
        <v>2</v>
      </c>
      <c r="B8" s="49" t="s">
        <v>37</v>
      </c>
      <c r="C8" s="50">
        <v>69207168.25</v>
      </c>
      <c r="D8" s="48">
        <f>C8/190933960.68</f>
        <v>0.36246651985598982</v>
      </c>
      <c r="E8" s="17">
        <f>42764882.83/C8</f>
        <v>0.61792562694544284</v>
      </c>
      <c r="F8" s="18">
        <f>0</f>
        <v>0</v>
      </c>
      <c r="G8" s="18">
        <f>26439286.42/C8</f>
        <v>0.38203103939309063</v>
      </c>
      <c r="H8" s="9">
        <v>0</v>
      </c>
      <c r="I8" s="17">
        <f>63837159.78/C8</f>
        <v>0.92240675921601523</v>
      </c>
      <c r="J8" s="18">
        <f>(2382030)/C8</f>
        <v>3.4418833485503869E-2</v>
      </c>
      <c r="K8" s="18">
        <f>2979480.01/C8</f>
        <v>4.3051609903140338E-2</v>
      </c>
      <c r="L8" s="9">
        <v>0</v>
      </c>
      <c r="M8" s="17">
        <f>12049927.91/C8</f>
        <v>0.17411387020592337</v>
      </c>
      <c r="N8" s="18">
        <f>14750646.79/C8</f>
        <v>0.21313755732232259</v>
      </c>
      <c r="O8" s="18">
        <f>25150398.08/C8</f>
        <v>0.36340741452024367</v>
      </c>
      <c r="P8" s="9">
        <f>17256196.47/C8</f>
        <v>0.24934117240088058</v>
      </c>
    </row>
    <row r="9" spans="1:16">
      <c r="A9" s="5" t="s">
        <v>5</v>
      </c>
      <c r="B9" s="42" t="s">
        <v>38</v>
      </c>
      <c r="C9" s="50">
        <v>11644531.859999999</v>
      </c>
      <c r="D9" s="48">
        <f t="shared" ref="D9:D16" si="1">C9/190933960.68</f>
        <v>6.0987222066355762E-2</v>
      </c>
      <c r="E9" s="17">
        <f>521601.51/C9</f>
        <v>4.4793686536403192E-2</v>
      </c>
      <c r="F9" s="18">
        <f>6441215.27/C9</f>
        <v>0.55315364734636918</v>
      </c>
      <c r="G9" s="13">
        <f>4681715.08/C9</f>
        <v>0.40205266611722768</v>
      </c>
      <c r="H9" s="9">
        <v>0</v>
      </c>
      <c r="I9" s="17">
        <f>3034844.75/C9</f>
        <v>0.26062402391846778</v>
      </c>
      <c r="J9" s="18">
        <f>6711261.76/C9</f>
        <v>0.57634448861390297</v>
      </c>
      <c r="K9" s="18">
        <f>1594581.64/C9</f>
        <v>0.13693823497340665</v>
      </c>
      <c r="L9" s="9">
        <f>141786.41/C9</f>
        <v>1.2176222428232509E-2</v>
      </c>
      <c r="M9" s="17">
        <f>1847916.6/C9</f>
        <v>0.15869393653752262</v>
      </c>
      <c r="N9" s="18">
        <f>2216865.6/C9</f>
        <v>0.19037825020816254</v>
      </c>
      <c r="O9" s="18">
        <f>1502126.53/C9</f>
        <v>0.12899844734505284</v>
      </c>
      <c r="P9" s="9">
        <f>6083623.13/C9</f>
        <v>0.52244462921672152</v>
      </c>
    </row>
    <row r="10" spans="1:16">
      <c r="A10" s="5" t="s">
        <v>3</v>
      </c>
      <c r="B10" s="42" t="s">
        <v>4</v>
      </c>
      <c r="C10" s="50">
        <v>8076212.2400000002</v>
      </c>
      <c r="D10" s="48">
        <f>C10/190933960.68</f>
        <v>4.2298458646314402E-2</v>
      </c>
      <c r="E10" s="17">
        <f>1344209.54/C10</f>
        <v>0.16644059121457661</v>
      </c>
      <c r="F10" s="18">
        <f>4558895.38/C10</f>
        <v>0.56448434544855397</v>
      </c>
      <c r="G10" s="18">
        <f>2144522.14/C10</f>
        <v>0.26553563431364208</v>
      </c>
      <c r="H10" s="9">
        <f>28585.18/C10</f>
        <v>3.5394290232273538E-3</v>
      </c>
      <c r="I10" s="17">
        <f>7099241.82/C10</f>
        <v>0.8790311112477649</v>
      </c>
      <c r="J10" s="18">
        <f>72819.67/C10</f>
        <v>9.016562199707619E-3</v>
      </c>
      <c r="K10" s="18">
        <f>230000/C10</f>
        <v>2.8478696840191015E-2</v>
      </c>
      <c r="L10" s="9">
        <f>641985.21/C10</f>
        <v>7.9490879006418977E-2</v>
      </c>
      <c r="M10" s="17">
        <f>1401172.57/C10</f>
        <v>0.17349377757313619</v>
      </c>
      <c r="N10" s="18">
        <f>1256955.79/C10</f>
        <v>0.15563679515188175</v>
      </c>
      <c r="O10" s="18">
        <f>3181466.01/C10</f>
        <v>0.39393046089635697</v>
      </c>
      <c r="P10" s="9">
        <f>2236617.87/C10</f>
        <v>0.27693896637862503</v>
      </c>
    </row>
    <row r="11" spans="1:16">
      <c r="A11" s="5" t="s">
        <v>6</v>
      </c>
      <c r="B11" s="42" t="s">
        <v>39</v>
      </c>
      <c r="C11" s="50">
        <v>7794292.8600000003</v>
      </c>
      <c r="D11" s="48">
        <f t="shared" si="1"/>
        <v>4.0821930432077602E-2</v>
      </c>
      <c r="E11" s="17">
        <f>6206825.56/C11</f>
        <v>0.796329528731616</v>
      </c>
      <c r="F11" s="18">
        <v>0</v>
      </c>
      <c r="G11" s="18">
        <f>1587467.3/C11</f>
        <v>0.20367047126838392</v>
      </c>
      <c r="H11" s="9">
        <v>0</v>
      </c>
      <c r="I11" s="17">
        <f>3823465.02/C11</f>
        <v>0.4905467485859904</v>
      </c>
      <c r="J11" s="18">
        <f>(53217.05)/C11</f>
        <v>6.8276944369267643E-3</v>
      </c>
      <c r="K11" s="18">
        <f>3921046.27/C11</f>
        <v>0.50306632563457465</v>
      </c>
      <c r="L11" s="9">
        <v>0</v>
      </c>
      <c r="M11" s="17">
        <f>2404268.4/C11</f>
        <v>0.30846523773036671</v>
      </c>
      <c r="N11" s="18">
        <f>1897430.77/C11</f>
        <v>0.24343847531538607</v>
      </c>
      <c r="O11" s="18">
        <f>1906053.37/C11</f>
        <v>0.24454474629530407</v>
      </c>
      <c r="P11" s="9">
        <f>1592540.32/C11</f>
        <v>0.20432133467461217</v>
      </c>
    </row>
    <row r="12" spans="1:16" ht="25.5">
      <c r="A12" s="51" t="s">
        <v>0</v>
      </c>
      <c r="B12" s="42" t="s">
        <v>40</v>
      </c>
      <c r="C12" s="50">
        <v>6815897.6200000001</v>
      </c>
      <c r="D12" s="48">
        <f t="shared" si="1"/>
        <v>3.569767052296817E-2</v>
      </c>
      <c r="E12" s="17">
        <f>2302037.21/C12</f>
        <v>0.3377452741140205</v>
      </c>
      <c r="F12" s="18">
        <v>0</v>
      </c>
      <c r="G12" s="18">
        <f>4513860.41/C12</f>
        <v>0.66225472588597956</v>
      </c>
      <c r="H12" s="9">
        <v>0</v>
      </c>
      <c r="I12" s="17">
        <f>6427551.62/C12</f>
        <v>0.94302349864228152</v>
      </c>
      <c r="J12" s="18">
        <v>0</v>
      </c>
      <c r="K12" s="18">
        <f>388346/C12</f>
        <v>5.6976501357718458E-2</v>
      </c>
      <c r="L12" s="9">
        <v>0</v>
      </c>
      <c r="M12" s="17">
        <f>1904998.88/C12</f>
        <v>0.27949347044329576</v>
      </c>
      <c r="N12" s="18">
        <f>1530895/C12</f>
        <v>0.22460651338245893</v>
      </c>
      <c r="O12" s="18">
        <f>775644.32/C12</f>
        <v>0.11379929148642347</v>
      </c>
      <c r="P12" s="9">
        <f>2604359.42/C12</f>
        <v>0.3821007246878218</v>
      </c>
    </row>
    <row r="13" spans="1:16" ht="25.5">
      <c r="A13" s="52" t="s">
        <v>42</v>
      </c>
      <c r="B13" s="54" t="s">
        <v>43</v>
      </c>
      <c r="C13" s="50">
        <v>6293297.0899999999</v>
      </c>
      <c r="D13" s="48">
        <f>C13/190933960.68</f>
        <v>3.2960595734707408E-2</v>
      </c>
      <c r="E13" s="56">
        <f>421911.8/C13</f>
        <v>6.7041456007283451E-2</v>
      </c>
      <c r="F13" s="57">
        <f>2991667.31/C13</f>
        <v>0.47537360261503248</v>
      </c>
      <c r="G13" s="57">
        <f>2779617.98/C13</f>
        <v>0.44167912943706272</v>
      </c>
      <c r="H13" s="58">
        <f>100000/C13</f>
        <v>1.5889922018602811E-2</v>
      </c>
      <c r="I13" s="56">
        <f>5206876.78/C13</f>
        <v>0.82736865994673714</v>
      </c>
      <c r="J13" s="57">
        <f>34413/C13</f>
        <v>5.4681988642617859E-3</v>
      </c>
      <c r="K13" s="57">
        <f>993522.3/C13</f>
        <v>0.15786991870742909</v>
      </c>
      <c r="L13" s="58">
        <f>50000/C13</f>
        <v>7.9449610093014055E-3</v>
      </c>
      <c r="M13" s="56">
        <f>953938.5/C13</f>
        <v>0.15158008375542939</v>
      </c>
      <c r="N13" s="57">
        <f>1089660.46/C13</f>
        <v>0.17314619736154868</v>
      </c>
      <c r="O13" s="57">
        <f>2315174.18/C13</f>
        <v>0.36787937179682711</v>
      </c>
      <c r="P13" s="58">
        <f>1934423.95/C13</f>
        <v>0.30737845716417622</v>
      </c>
    </row>
    <row r="14" spans="1:16" ht="38.25">
      <c r="A14" s="51" t="s">
        <v>1</v>
      </c>
      <c r="B14" s="42" t="s">
        <v>41</v>
      </c>
      <c r="C14" s="50">
        <v>5732712.5999999996</v>
      </c>
      <c r="D14" s="48">
        <f t="shared" si="1"/>
        <v>3.0024583262104252E-2</v>
      </c>
      <c r="E14" s="17">
        <f>5527325.83/C14</f>
        <v>0.96417284724861319</v>
      </c>
      <c r="F14" s="18">
        <v>0</v>
      </c>
      <c r="G14" s="18">
        <f>212000/C14</f>
        <v>3.6980747997030237E-2</v>
      </c>
      <c r="H14" s="9">
        <v>0</v>
      </c>
      <c r="I14" s="17">
        <f>3472225.09/C14</f>
        <v>0.60568623133139454</v>
      </c>
      <c r="J14" s="18">
        <f>2151551.11/C14</f>
        <v>0.3753111764228334</v>
      </c>
      <c r="K14" s="18">
        <f>115602.69/C14</f>
        <v>2.0165443144664189E-2</v>
      </c>
      <c r="L14" s="9">
        <v>0</v>
      </c>
      <c r="M14" s="17">
        <f>1488471.55/C14</f>
        <v>0.25964524194008959</v>
      </c>
      <c r="N14" s="18">
        <f>1982499.84/C14</f>
        <v>0.34582229710939988</v>
      </c>
      <c r="O14" s="18">
        <f>1493231.42/C14</f>
        <v>0.2604755417182435</v>
      </c>
      <c r="P14" s="9">
        <f>768509.79/C14</f>
        <v>0.13405691923226712</v>
      </c>
    </row>
    <row r="15" spans="1:16">
      <c r="A15" s="52" t="s">
        <v>44</v>
      </c>
      <c r="B15" s="54" t="s">
        <v>45</v>
      </c>
      <c r="C15" s="50">
        <v>2900800.64</v>
      </c>
      <c r="D15" s="48">
        <f t="shared" si="1"/>
        <v>1.5192690863736185E-2</v>
      </c>
      <c r="E15" s="59">
        <v>1</v>
      </c>
      <c r="F15" s="18">
        <v>0</v>
      </c>
      <c r="G15" s="18">
        <v>0</v>
      </c>
      <c r="H15" s="9">
        <v>0</v>
      </c>
      <c r="I15" s="17">
        <v>1</v>
      </c>
      <c r="J15" s="18">
        <v>0</v>
      </c>
      <c r="K15" s="18">
        <v>0</v>
      </c>
      <c r="L15" s="9">
        <v>0</v>
      </c>
      <c r="M15" s="17">
        <f>482220/C15</f>
        <v>0.16623686348883321</v>
      </c>
      <c r="N15" s="18">
        <f>2378580.64/C15</f>
        <v>0.81997384004989737</v>
      </c>
      <c r="O15" s="18">
        <v>0</v>
      </c>
      <c r="P15" s="9">
        <f>40000/C15</f>
        <v>1.3789296461269395E-2</v>
      </c>
    </row>
    <row r="16" spans="1:16">
      <c r="A16" s="52" t="s">
        <v>7</v>
      </c>
      <c r="B16" s="42" t="s">
        <v>46</v>
      </c>
      <c r="C16" s="50">
        <v>2584514.52</v>
      </c>
      <c r="D16" s="48">
        <f t="shared" si="1"/>
        <v>1.3536169840060954E-2</v>
      </c>
      <c r="E16" s="56">
        <f>2584514.52/C16</f>
        <v>1</v>
      </c>
      <c r="F16" s="57">
        <v>0</v>
      </c>
      <c r="G16" s="57">
        <v>0</v>
      </c>
      <c r="H16" s="58">
        <v>0</v>
      </c>
      <c r="I16" s="56">
        <f>2584514.52/C16</f>
        <v>1</v>
      </c>
      <c r="J16" s="57">
        <v>0</v>
      </c>
      <c r="K16" s="57">
        <v>0</v>
      </c>
      <c r="L16" s="58">
        <v>0</v>
      </c>
      <c r="M16" s="56">
        <v>0</v>
      </c>
      <c r="N16" s="57">
        <v>0</v>
      </c>
      <c r="O16" s="57">
        <f>384514.52/C16</f>
        <v>0.14877630480481882</v>
      </c>
      <c r="P16" s="58">
        <f>2200000/C16</f>
        <v>0.85122369519518115</v>
      </c>
    </row>
    <row r="17" spans="1:16" ht="13.5" thickBot="1">
      <c r="A17" s="62" t="s">
        <v>47</v>
      </c>
      <c r="B17" s="43" t="s">
        <v>48</v>
      </c>
      <c r="C17" s="64" t="s">
        <v>49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1:16">
      <c r="A18" s="1"/>
      <c r="B18" s="3"/>
      <c r="C18" s="7"/>
    </row>
    <row r="19" spans="1:16">
      <c r="A19" s="1"/>
      <c r="B19" s="3"/>
      <c r="C19" s="7"/>
    </row>
    <row r="20" spans="1:16">
      <c r="A20" s="1"/>
      <c r="B20" s="3"/>
      <c r="C20" s="7"/>
    </row>
    <row r="21" spans="1:16">
      <c r="A21" s="1"/>
      <c r="B21" s="3"/>
      <c r="C21" s="7"/>
    </row>
    <row r="22" spans="1:16">
      <c r="A22" s="1"/>
      <c r="B22" s="3"/>
      <c r="C22" s="7"/>
    </row>
    <row r="23" spans="1:16">
      <c r="A23" s="1"/>
      <c r="B23" s="3"/>
      <c r="C23" s="7"/>
    </row>
    <row r="24" spans="1:16">
      <c r="A24" s="1"/>
      <c r="B24" s="3"/>
      <c r="C24" s="7"/>
    </row>
    <row r="25" spans="1:16">
      <c r="A25" s="1"/>
      <c r="B25" s="3"/>
      <c r="C25" s="7"/>
    </row>
    <row r="26" spans="1:16">
      <c r="A26" s="1"/>
      <c r="B26" s="3"/>
      <c r="C26" s="7"/>
    </row>
    <row r="27" spans="1:16">
      <c r="A27" s="1"/>
      <c r="B27" s="3"/>
      <c r="C27" s="7"/>
    </row>
    <row r="28" spans="1:16">
      <c r="A28" s="1"/>
      <c r="B28" s="3"/>
      <c r="C28" s="7"/>
    </row>
    <row r="29" spans="1:16">
      <c r="A29" s="1"/>
      <c r="B29" s="3"/>
      <c r="C29" s="7"/>
    </row>
    <row r="30" spans="1:16">
      <c r="A30" s="1"/>
      <c r="B30" s="3"/>
      <c r="C30" s="7"/>
    </row>
    <row r="31" spans="1:16">
      <c r="A31" s="1"/>
      <c r="B31" s="3"/>
      <c r="C31" s="7"/>
    </row>
    <row r="32" spans="1:16">
      <c r="A32" s="1"/>
      <c r="B32" s="3"/>
      <c r="C32" s="7"/>
    </row>
    <row r="33" spans="1:3">
      <c r="A33" s="1"/>
      <c r="B33" s="3"/>
      <c r="C33" s="7"/>
    </row>
    <row r="34" spans="1:3">
      <c r="A34" s="1"/>
      <c r="B34" s="3"/>
      <c r="C34" s="7"/>
    </row>
    <row r="35" spans="1:3">
      <c r="A35" s="1"/>
      <c r="B35" s="3"/>
      <c r="C35" s="7"/>
    </row>
    <row r="36" spans="1:3">
      <c r="A36" s="1"/>
      <c r="B36" s="3"/>
      <c r="C36" s="7"/>
    </row>
    <row r="37" spans="1:3">
      <c r="A37" s="1"/>
      <c r="B37" s="3"/>
      <c r="C37" s="7"/>
    </row>
    <row r="38" spans="1:3">
      <c r="A38" s="1"/>
      <c r="B38" s="3"/>
      <c r="C38" s="7"/>
    </row>
    <row r="39" spans="1:3">
      <c r="A39" s="1"/>
      <c r="B39" s="3"/>
      <c r="C39" s="7"/>
    </row>
    <row r="40" spans="1:3">
      <c r="A40" s="1"/>
      <c r="B40" s="3"/>
      <c r="C40" s="7"/>
    </row>
    <row r="41" spans="1:3">
      <c r="A41" s="1"/>
      <c r="B41" s="3"/>
      <c r="C41" s="7"/>
    </row>
    <row r="42" spans="1:3">
      <c r="A42" s="1"/>
      <c r="B42" s="3"/>
      <c r="C42" s="7"/>
    </row>
    <row r="43" spans="1:3">
      <c r="A43" s="1"/>
      <c r="B43" s="3"/>
      <c r="C43" s="7"/>
    </row>
    <row r="44" spans="1:3">
      <c r="A44" s="1"/>
      <c r="B44" s="3"/>
      <c r="C44" s="7"/>
    </row>
    <row r="45" spans="1:3">
      <c r="A45" s="1"/>
      <c r="B45" s="3"/>
      <c r="C45" s="7"/>
    </row>
    <row r="46" spans="1:3">
      <c r="A46" s="1"/>
      <c r="B46" s="3"/>
      <c r="C46" s="7"/>
    </row>
    <row r="47" spans="1:3">
      <c r="A47" s="1"/>
      <c r="B47" s="3"/>
      <c r="C47" s="7"/>
    </row>
    <row r="48" spans="1:3">
      <c r="A48" s="1"/>
      <c r="B48" s="3"/>
      <c r="C48" s="7"/>
    </row>
    <row r="49" spans="1:3">
      <c r="A49" s="1"/>
      <c r="B49" s="3"/>
      <c r="C49" s="7"/>
    </row>
    <row r="50" spans="1:3">
      <c r="A50" s="1"/>
      <c r="B50" s="3"/>
      <c r="C50" s="7"/>
    </row>
    <row r="51" spans="1:3">
      <c r="A51" s="1"/>
      <c r="B51" s="3"/>
      <c r="C51" s="7"/>
    </row>
    <row r="52" spans="1:3">
      <c r="A52" s="1"/>
      <c r="B52" s="3"/>
      <c r="C52" s="7"/>
    </row>
    <row r="53" spans="1:3">
      <c r="A53" s="1"/>
      <c r="B53" s="3"/>
      <c r="C53" s="7"/>
    </row>
    <row r="54" spans="1:3">
      <c r="A54" s="1"/>
      <c r="B54" s="3"/>
      <c r="C54" s="7"/>
    </row>
    <row r="55" spans="1:3">
      <c r="A55" s="1"/>
      <c r="B55" s="3"/>
      <c r="C55" s="7"/>
    </row>
    <row r="56" spans="1:3">
      <c r="A56" s="1"/>
      <c r="B56" s="3"/>
      <c r="C56" s="7"/>
    </row>
    <row r="57" spans="1:3">
      <c r="A57" s="1"/>
      <c r="B57" s="3"/>
      <c r="C57" s="7"/>
    </row>
    <row r="58" spans="1:3">
      <c r="A58" s="1"/>
      <c r="B58" s="3"/>
      <c r="C58" s="7"/>
    </row>
    <row r="59" spans="1:3">
      <c r="A59" s="1"/>
      <c r="B59" s="3"/>
      <c r="C59" s="7"/>
    </row>
    <row r="60" spans="1:3">
      <c r="A60" s="1"/>
      <c r="B60" s="3"/>
      <c r="C60" s="7"/>
    </row>
    <row r="61" spans="1:3">
      <c r="A61" s="1"/>
      <c r="B61" s="3"/>
      <c r="C61" s="7"/>
    </row>
    <row r="62" spans="1:3">
      <c r="A62" s="1"/>
      <c r="B62" s="3"/>
      <c r="C62" s="7"/>
    </row>
    <row r="63" spans="1:3">
      <c r="A63" s="1"/>
      <c r="B63" s="3"/>
      <c r="C63" s="7"/>
    </row>
    <row r="64" spans="1:3">
      <c r="A64" s="1"/>
      <c r="B64" s="3"/>
      <c r="C64" s="7"/>
    </row>
    <row r="65" spans="1:3">
      <c r="A65" s="1"/>
      <c r="B65" s="3"/>
      <c r="C65" s="7"/>
    </row>
    <row r="66" spans="1:3">
      <c r="A66" s="1"/>
      <c r="B66" s="3"/>
      <c r="C66" s="7"/>
    </row>
    <row r="67" spans="1:3">
      <c r="A67" s="1"/>
      <c r="B67" s="3"/>
      <c r="C67" s="7"/>
    </row>
    <row r="68" spans="1:3">
      <c r="A68" s="1"/>
      <c r="B68" s="3"/>
      <c r="C68" s="7"/>
    </row>
    <row r="69" spans="1:3">
      <c r="A69" s="1"/>
      <c r="B69" s="3"/>
      <c r="C69" s="7"/>
    </row>
    <row r="70" spans="1:3">
      <c r="A70" s="1"/>
      <c r="B70" s="3"/>
      <c r="C70" s="7"/>
    </row>
    <row r="71" spans="1:3">
      <c r="A71" s="1"/>
      <c r="B71" s="3"/>
      <c r="C71" s="7"/>
    </row>
    <row r="72" spans="1:3">
      <c r="A72" s="1"/>
      <c r="B72" s="3"/>
      <c r="C72" s="7"/>
    </row>
    <row r="73" spans="1:3">
      <c r="A73" s="1"/>
      <c r="B73" s="3"/>
      <c r="C73" s="7"/>
    </row>
    <row r="74" spans="1:3">
      <c r="A74" s="1"/>
      <c r="B74" s="3"/>
      <c r="C74" s="7"/>
    </row>
    <row r="75" spans="1:3">
      <c r="A75" s="1"/>
      <c r="B75" s="3"/>
      <c r="C75" s="7"/>
    </row>
    <row r="76" spans="1:3">
      <c r="A76" s="1"/>
      <c r="B76" s="3"/>
      <c r="C76" s="7"/>
    </row>
    <row r="77" spans="1:3">
      <c r="A77" s="1"/>
      <c r="B77" s="3"/>
      <c r="C77" s="7"/>
    </row>
    <row r="78" spans="1:3">
      <c r="A78" s="1"/>
      <c r="B78" s="3"/>
      <c r="C78" s="7"/>
    </row>
    <row r="79" spans="1:3">
      <c r="A79" s="1"/>
      <c r="B79" s="3"/>
      <c r="C79" s="7"/>
    </row>
    <row r="80" spans="1:3">
      <c r="A80" s="1"/>
      <c r="B80" s="3"/>
      <c r="C80" s="7"/>
    </row>
    <row r="81" spans="1:3">
      <c r="A81" s="1"/>
      <c r="B81" s="3"/>
      <c r="C81" s="7"/>
    </row>
    <row r="82" spans="1:3">
      <c r="A82" s="1"/>
      <c r="B82" s="3"/>
      <c r="C82" s="7"/>
    </row>
    <row r="83" spans="1:3">
      <c r="A83" s="1"/>
      <c r="B83" s="3"/>
      <c r="C83" s="7"/>
    </row>
    <row r="84" spans="1:3">
      <c r="A84" s="1"/>
      <c r="B84" s="3"/>
      <c r="C84" s="7"/>
    </row>
    <row r="85" spans="1:3">
      <c r="A85" s="1"/>
      <c r="B85" s="3"/>
      <c r="C85" s="7"/>
    </row>
    <row r="86" spans="1:3">
      <c r="A86" s="1"/>
      <c r="B86" s="3"/>
      <c r="C86" s="7"/>
    </row>
    <row r="87" spans="1:3">
      <c r="A87" s="1"/>
      <c r="B87" s="3"/>
      <c r="C87" s="7"/>
    </row>
    <row r="88" spans="1:3">
      <c r="A88" s="1"/>
      <c r="B88" s="3"/>
      <c r="C88" s="7"/>
    </row>
    <row r="89" spans="1:3">
      <c r="A89" s="1"/>
      <c r="B89" s="3"/>
      <c r="C89" s="7"/>
    </row>
    <row r="90" spans="1:3">
      <c r="A90" s="1"/>
      <c r="B90" s="3"/>
      <c r="C90" s="7"/>
    </row>
    <row r="91" spans="1:3">
      <c r="A91" s="1"/>
      <c r="B91" s="3"/>
      <c r="C91" s="7"/>
    </row>
    <row r="92" spans="1:3">
      <c r="A92" s="1"/>
      <c r="B92" s="3"/>
      <c r="C92" s="7"/>
    </row>
    <row r="93" spans="1:3">
      <c r="A93" s="1"/>
      <c r="B93" s="3"/>
      <c r="C93" s="7"/>
    </row>
    <row r="94" spans="1:3">
      <c r="A94" s="1"/>
      <c r="B94" s="3"/>
      <c r="C94" s="7"/>
    </row>
    <row r="95" spans="1:3">
      <c r="A95" s="1"/>
      <c r="B95" s="3"/>
      <c r="C95" s="7"/>
    </row>
    <row r="96" spans="1:3">
      <c r="A96" s="1"/>
      <c r="B96" s="3"/>
      <c r="C96" s="7"/>
    </row>
    <row r="97" spans="1:3">
      <c r="A97" s="1"/>
      <c r="B97" s="3"/>
      <c r="C97" s="7"/>
    </row>
    <row r="98" spans="1:3">
      <c r="A98" s="1"/>
      <c r="B98" s="3"/>
      <c r="C98" s="7"/>
    </row>
    <row r="99" spans="1:3">
      <c r="A99" s="1"/>
      <c r="B99" s="3"/>
      <c r="C99" s="7"/>
    </row>
    <row r="100" spans="1:3">
      <c r="A100" s="1"/>
      <c r="B100" s="3"/>
      <c r="C100" s="7"/>
    </row>
    <row r="101" spans="1:3">
      <c r="A101" s="1"/>
      <c r="B101" s="3"/>
      <c r="C101" s="7"/>
    </row>
    <row r="102" spans="1:3">
      <c r="A102" s="1"/>
      <c r="B102" s="3"/>
      <c r="C102" s="7"/>
    </row>
    <row r="103" spans="1:3">
      <c r="A103" s="1"/>
      <c r="B103" s="3"/>
      <c r="C103" s="7"/>
    </row>
    <row r="104" spans="1:3">
      <c r="A104" s="1"/>
      <c r="B104" s="3"/>
      <c r="C104" s="7"/>
    </row>
    <row r="105" spans="1:3">
      <c r="A105" s="1"/>
      <c r="B105" s="3"/>
      <c r="C105" s="7"/>
    </row>
    <row r="106" spans="1:3">
      <c r="A106" s="1"/>
      <c r="B106" s="3"/>
      <c r="C106" s="7"/>
    </row>
    <row r="107" spans="1:3">
      <c r="A107" s="1"/>
      <c r="B107" s="3"/>
      <c r="C107" s="7"/>
    </row>
    <row r="108" spans="1:3">
      <c r="A108" s="1"/>
      <c r="B108" s="3"/>
      <c r="C108" s="7"/>
    </row>
    <row r="109" spans="1:3">
      <c r="A109" s="1"/>
      <c r="B109" s="3"/>
      <c r="C109" s="7"/>
    </row>
    <row r="110" spans="1:3">
      <c r="A110" s="1"/>
      <c r="B110" s="3"/>
      <c r="C110" s="7"/>
    </row>
    <row r="111" spans="1:3">
      <c r="A111" s="1"/>
      <c r="B111" s="3"/>
      <c r="C111" s="7"/>
    </row>
    <row r="112" spans="1:3">
      <c r="A112" s="1"/>
      <c r="B112" s="3"/>
      <c r="C112" s="7"/>
    </row>
    <row r="113" spans="1:3">
      <c r="A113" s="1"/>
      <c r="B113" s="3"/>
      <c r="C113" s="7"/>
    </row>
    <row r="114" spans="1:3">
      <c r="A114" s="1"/>
      <c r="B114" s="3"/>
      <c r="C114" s="7"/>
    </row>
    <row r="115" spans="1:3">
      <c r="A115" s="1"/>
      <c r="B115" s="3"/>
      <c r="C115" s="7"/>
    </row>
    <row r="116" spans="1:3">
      <c r="A116" s="1"/>
      <c r="B116" s="3"/>
      <c r="C116" s="7"/>
    </row>
    <row r="117" spans="1:3">
      <c r="A117" s="1"/>
      <c r="B117" s="3"/>
      <c r="C117" s="7"/>
    </row>
  </sheetData>
  <mergeCells count="9">
    <mergeCell ref="C17:P17"/>
    <mergeCell ref="A4:B4"/>
    <mergeCell ref="A6:P6"/>
    <mergeCell ref="E1:H1"/>
    <mergeCell ref="E2:H2"/>
    <mergeCell ref="I1:L1"/>
    <mergeCell ref="I2:L2"/>
    <mergeCell ref="M1:P1"/>
    <mergeCell ref="M2:P2"/>
  </mergeCells>
  <printOptions horizontalCentered="1"/>
  <pageMargins left="0.25" right="0.25" top="0.75" bottom="0.75" header="0.5" footer="0.5"/>
  <pageSetup paperSize="5" scale="90" orientation="landscape" r:id="rId1"/>
  <headerFooter alignWithMargins="0">
    <oddHeader>&amp;L&amp;8Appendix C - Inventory Summary - NRC</oddHeader>
    <oddFooter>&amp;C&amp;8Page 1 of 2&amp;R&amp;8-</oddFooter>
  </headerFooter>
  <ignoredErrors>
    <ignoredError sqref="E16 O16:P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workbookViewId="0">
      <selection activeCell="B12" sqref="B12"/>
    </sheetView>
  </sheetViews>
  <sheetFormatPr defaultRowHeight="12.75"/>
  <cols>
    <col min="1" max="1" width="5.85546875" bestFit="1" customWidth="1"/>
    <col min="2" max="2" width="37" style="4" customWidth="1"/>
    <col min="3" max="3" width="16.85546875" bestFit="1" customWidth="1"/>
    <col min="4" max="4" width="10.28515625" customWidth="1"/>
    <col min="5" max="5" width="9.28515625" bestFit="1" customWidth="1"/>
    <col min="8" max="8" width="12.28515625" bestFit="1" customWidth="1"/>
    <col min="9" max="9" width="10.42578125" customWidth="1"/>
  </cols>
  <sheetData>
    <row r="1" spans="1:11">
      <c r="A1" s="34"/>
      <c r="B1" s="35"/>
      <c r="C1" s="34"/>
      <c r="D1" s="25"/>
      <c r="E1" s="78" t="s">
        <v>34</v>
      </c>
      <c r="F1" s="79"/>
      <c r="G1" s="79"/>
      <c r="H1" s="79"/>
      <c r="I1" s="79"/>
      <c r="J1" s="79"/>
      <c r="K1" s="80"/>
    </row>
    <row r="2" spans="1:11" ht="13.5" thickBot="1">
      <c r="A2" s="34"/>
      <c r="B2" s="35"/>
      <c r="C2" s="34"/>
      <c r="D2" s="25"/>
      <c r="E2" s="78" t="s">
        <v>32</v>
      </c>
      <c r="F2" s="79"/>
      <c r="G2" s="79"/>
      <c r="H2" s="79"/>
      <c r="I2" s="79"/>
      <c r="J2" s="79"/>
      <c r="K2" s="80"/>
    </row>
    <row r="3" spans="1:11" s="4" customFormat="1" ht="25.5">
      <c r="A3" s="44"/>
      <c r="B3" s="45"/>
      <c r="C3" s="45" t="s">
        <v>9</v>
      </c>
      <c r="D3" s="47" t="s">
        <v>16</v>
      </c>
      <c r="E3" s="26" t="s">
        <v>10</v>
      </c>
      <c r="F3" s="27" t="s">
        <v>11</v>
      </c>
      <c r="G3" s="28" t="s">
        <v>17</v>
      </c>
      <c r="H3" s="27" t="s">
        <v>12</v>
      </c>
      <c r="I3" s="28" t="s">
        <v>35</v>
      </c>
      <c r="J3" s="27" t="s">
        <v>13</v>
      </c>
      <c r="K3" s="29" t="s">
        <v>14</v>
      </c>
    </row>
    <row r="4" spans="1:11">
      <c r="A4" s="67" t="s">
        <v>15</v>
      </c>
      <c r="B4" s="68"/>
      <c r="C4" s="11"/>
      <c r="D4" s="10"/>
      <c r="E4" s="30"/>
      <c r="F4" s="31"/>
      <c r="G4" s="31"/>
      <c r="H4" s="31"/>
      <c r="I4" s="31"/>
      <c r="J4" s="31"/>
      <c r="K4" s="32"/>
    </row>
    <row r="5" spans="1:11" ht="13.5" thickBot="1">
      <c r="A5" s="62" t="s">
        <v>47</v>
      </c>
      <c r="B5" s="43" t="s">
        <v>48</v>
      </c>
      <c r="C5" s="53">
        <v>2299380.37</v>
      </c>
      <c r="D5" s="55">
        <f t="shared" ref="D5" si="0">C5/190933960.68</f>
        <v>1.2042804547765589E-2</v>
      </c>
      <c r="E5" s="19">
        <f>998969.67/C5</f>
        <v>0.43445168230256748</v>
      </c>
      <c r="F5" s="20">
        <f>237274.82/C5</f>
        <v>0.10319076525820736</v>
      </c>
      <c r="G5" s="20">
        <f>297274.82/C5</f>
        <v>0.12928475161332267</v>
      </c>
      <c r="H5" s="20">
        <f>157937.76/C5</f>
        <v>6.8687095906624612E-2</v>
      </c>
      <c r="I5" s="20">
        <f>157937.76/C5</f>
        <v>6.8687095906624612E-2</v>
      </c>
      <c r="J5" s="20">
        <v>0</v>
      </c>
      <c r="K5" s="21">
        <f>285180.09/C5</f>
        <v>0.12402475628684262</v>
      </c>
    </row>
    <row r="6" spans="1:1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>
      <c r="A7" s="33" t="s">
        <v>8</v>
      </c>
      <c r="B7" s="35"/>
      <c r="C7" s="34"/>
      <c r="D7" s="34"/>
      <c r="E7" s="34"/>
      <c r="F7" s="34"/>
      <c r="G7" s="34"/>
      <c r="H7" s="34"/>
      <c r="I7" s="34"/>
      <c r="J7" s="34"/>
      <c r="K7" s="36"/>
    </row>
    <row r="8" spans="1:11" ht="25.5">
      <c r="A8" s="5" t="s">
        <v>2</v>
      </c>
      <c r="B8" s="49" t="s">
        <v>37</v>
      </c>
      <c r="C8" s="50">
        <v>69207168.25</v>
      </c>
      <c r="D8" s="48">
        <f>C8/190933960.68</f>
        <v>0.36246651985598982</v>
      </c>
      <c r="E8" s="17">
        <f>7990244.8/C8</f>
        <v>0.1154540057344421</v>
      </c>
      <c r="F8" s="18">
        <f>3402576.79/C8</f>
        <v>4.916509194118053E-2</v>
      </c>
      <c r="G8" s="18">
        <f>3325965.48/C8</f>
        <v>4.8058106755437147E-2</v>
      </c>
      <c r="H8" s="18">
        <f>425497.08/C8</f>
        <v>6.1481648615206849E-3</v>
      </c>
      <c r="I8" s="18">
        <f>102497.08/C8</f>
        <v>1.4810182614284322E-3</v>
      </c>
      <c r="J8" s="18">
        <v>0</v>
      </c>
      <c r="K8" s="9">
        <f>2332278.1/C8</f>
        <v>3.3699949860323902E-2</v>
      </c>
    </row>
    <row r="9" spans="1:11">
      <c r="A9" s="5" t="s">
        <v>5</v>
      </c>
      <c r="B9" s="42" t="s">
        <v>38</v>
      </c>
      <c r="C9" s="50">
        <v>11644531.859999999</v>
      </c>
      <c r="D9" s="48">
        <f t="shared" ref="D9:D16" si="1">C9/190933960.68</f>
        <v>6.0987222066355762E-2</v>
      </c>
      <c r="E9" s="17">
        <f>3292328.51/C9</f>
        <v>0.28273601288424832</v>
      </c>
      <c r="F9" s="18">
        <f>847291.92/C9</f>
        <v>7.2763072847138066E-2</v>
      </c>
      <c r="G9" s="18">
        <f>870790.64/C9</f>
        <v>7.4781077545181804E-2</v>
      </c>
      <c r="H9" s="18">
        <f>320482.28/C9</f>
        <v>2.7522126595821778E-2</v>
      </c>
      <c r="I9" s="18">
        <f>62000/C9</f>
        <v>5.3243875104138369E-3</v>
      </c>
      <c r="J9" s="18">
        <v>0</v>
      </c>
      <c r="K9" s="9">
        <f>328445.28/C9</f>
        <v>2.8205966882038316E-2</v>
      </c>
    </row>
    <row r="10" spans="1:11">
      <c r="A10" s="5" t="s">
        <v>3</v>
      </c>
      <c r="B10" s="42" t="s">
        <v>4</v>
      </c>
      <c r="C10" s="50">
        <v>8076212.2400000002</v>
      </c>
      <c r="D10" s="48">
        <f>C10/190933960.68</f>
        <v>4.2298458646314402E-2</v>
      </c>
      <c r="E10" s="17">
        <f>927484.18/C10</f>
        <v>0.11484148167953546</v>
      </c>
      <c r="F10" s="18">
        <f>230000/C10</f>
        <v>2.8478696840191015E-2</v>
      </c>
      <c r="G10" s="18">
        <f>230000/C10</f>
        <v>2.8478696840191015E-2</v>
      </c>
      <c r="H10" s="18">
        <v>0</v>
      </c>
      <c r="I10" s="18">
        <v>0</v>
      </c>
      <c r="J10" s="18">
        <v>0</v>
      </c>
      <c r="K10" s="9">
        <f>545933.46/C10</f>
        <v>6.7597710879376285E-2</v>
      </c>
    </row>
    <row r="11" spans="1:11">
      <c r="A11" s="5" t="s">
        <v>6</v>
      </c>
      <c r="B11" s="42" t="s">
        <v>39</v>
      </c>
      <c r="C11" s="50">
        <v>7794292.8600000003</v>
      </c>
      <c r="D11" s="48">
        <f t="shared" si="1"/>
        <v>4.0821930432077602E-2</v>
      </c>
      <c r="E11" s="17">
        <f>7385662.18/C11</f>
        <v>0.94757309131953749</v>
      </c>
      <c r="F11" s="18">
        <f>7263664.74/C11</f>
        <v>0.93192094144638027</v>
      </c>
      <c r="G11" s="18">
        <f>7134444.74/C11</f>
        <v>0.91534214432892114</v>
      </c>
      <c r="H11" s="18">
        <f>1121634/C11</f>
        <v>0.14390452349515642</v>
      </c>
      <c r="I11" s="18">
        <f>78904/C11</f>
        <v>1.0123304502058445E-2</v>
      </c>
      <c r="J11" s="18">
        <f>3765204.67/C11</f>
        <v>0.48307200378919296</v>
      </c>
      <c r="K11" s="9">
        <f>1055554.08/C11</f>
        <v>0.13542653566650817</v>
      </c>
    </row>
    <row r="12" spans="1:11" ht="25.5">
      <c r="A12" s="51" t="s">
        <v>0</v>
      </c>
      <c r="B12" s="42" t="s">
        <v>40</v>
      </c>
      <c r="C12" s="50">
        <v>6815897.6200000001</v>
      </c>
      <c r="D12" s="48">
        <f t="shared" si="1"/>
        <v>3.569767052296817E-2</v>
      </c>
      <c r="E12" s="17">
        <f>388346/C12</f>
        <v>5.6976501357718458E-2</v>
      </c>
      <c r="F12" s="18">
        <f>388346/C12</f>
        <v>5.6976501357718458E-2</v>
      </c>
      <c r="G12" s="18">
        <f>388346/C12</f>
        <v>5.6976501357718458E-2</v>
      </c>
      <c r="H12" s="18">
        <v>0</v>
      </c>
      <c r="I12" s="18">
        <v>0</v>
      </c>
      <c r="J12" s="18">
        <v>0</v>
      </c>
      <c r="K12" s="9">
        <f>388346/C12</f>
        <v>5.6976501357718458E-2</v>
      </c>
    </row>
    <row r="13" spans="1:11" ht="25.5">
      <c r="A13" s="52" t="s">
        <v>42</v>
      </c>
      <c r="B13" s="54" t="s">
        <v>43</v>
      </c>
      <c r="C13" s="50">
        <v>6293297.0899999999</v>
      </c>
      <c r="D13" s="48">
        <f>C13/190933960.68</f>
        <v>3.2960595734707408E-2</v>
      </c>
      <c r="E13" s="60">
        <f>2133915.18/C13</f>
        <v>0.33907745804512784</v>
      </c>
      <c r="F13" s="57">
        <f>34413/C13</f>
        <v>5.4681988642617859E-3</v>
      </c>
      <c r="G13" s="60">
        <f>34413/C13</f>
        <v>5.4681988642617859E-3</v>
      </c>
      <c r="H13" s="57">
        <v>0</v>
      </c>
      <c r="I13" s="57">
        <v>0</v>
      </c>
      <c r="J13" s="57">
        <v>0</v>
      </c>
      <c r="K13" s="61">
        <f>113569.18/C13</f>
        <v>1.804605413916666E-2</v>
      </c>
    </row>
    <row r="14" spans="1:11" ht="38.25">
      <c r="A14" s="51" t="s">
        <v>1</v>
      </c>
      <c r="B14" s="42" t="s">
        <v>41</v>
      </c>
      <c r="C14" s="50">
        <v>5732712.5999999996</v>
      </c>
      <c r="D14" s="48">
        <f t="shared" si="1"/>
        <v>3.0024583262104252E-2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9">
        <v>0</v>
      </c>
    </row>
    <row r="15" spans="1:11">
      <c r="A15" s="52" t="s">
        <v>44</v>
      </c>
      <c r="B15" s="54" t="s">
        <v>45</v>
      </c>
      <c r="C15" s="50">
        <v>2900800.64</v>
      </c>
      <c r="D15" s="48">
        <f t="shared" si="1"/>
        <v>1.5192690863736185E-2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9">
        <v>1</v>
      </c>
    </row>
    <row r="16" spans="1:11">
      <c r="A16" s="52" t="s">
        <v>7</v>
      </c>
      <c r="B16" s="42" t="s">
        <v>46</v>
      </c>
      <c r="C16" s="50">
        <v>2584514.52</v>
      </c>
      <c r="D16" s="48">
        <f t="shared" si="1"/>
        <v>1.3536169840060954E-2</v>
      </c>
      <c r="E16" s="60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1">
        <v>0</v>
      </c>
    </row>
    <row r="17" spans="1:11" ht="13.5" thickBot="1">
      <c r="A17" s="62" t="s">
        <v>47</v>
      </c>
      <c r="B17" s="43" t="s">
        <v>48</v>
      </c>
      <c r="C17" s="64" t="s">
        <v>49</v>
      </c>
      <c r="D17" s="65"/>
      <c r="E17" s="65"/>
      <c r="F17" s="65"/>
      <c r="G17" s="65"/>
      <c r="H17" s="65"/>
      <c r="I17" s="65"/>
      <c r="J17" s="65"/>
      <c r="K17" s="66"/>
    </row>
    <row r="18" spans="1:11">
      <c r="A18" s="1"/>
      <c r="B18" s="3"/>
      <c r="C18" s="2"/>
    </row>
    <row r="19" spans="1:11">
      <c r="A19" s="1"/>
      <c r="B19" s="3"/>
      <c r="C19" s="2"/>
    </row>
    <row r="20" spans="1:11">
      <c r="A20" s="1"/>
      <c r="B20" s="3"/>
      <c r="C20" s="2"/>
    </row>
    <row r="21" spans="1:11">
      <c r="A21" s="1"/>
      <c r="B21" s="3"/>
      <c r="C21" s="2"/>
    </row>
    <row r="22" spans="1:11">
      <c r="A22" s="1"/>
      <c r="B22" s="3"/>
      <c r="C22" s="2"/>
    </row>
    <row r="23" spans="1:11">
      <c r="A23" s="1"/>
      <c r="B23" s="3"/>
      <c r="C23" s="2"/>
    </row>
    <row r="24" spans="1:11">
      <c r="A24" s="1"/>
      <c r="B24" s="3"/>
      <c r="C24" s="2"/>
    </row>
    <row r="25" spans="1:11">
      <c r="A25" s="1"/>
      <c r="B25" s="3"/>
      <c r="C25" s="2"/>
    </row>
    <row r="26" spans="1:11">
      <c r="A26" s="1"/>
      <c r="B26" s="3"/>
      <c r="C26" s="2"/>
    </row>
    <row r="27" spans="1:11">
      <c r="A27" s="1"/>
      <c r="B27" s="3"/>
      <c r="C27" s="2"/>
    </row>
    <row r="28" spans="1:11">
      <c r="A28" s="1"/>
      <c r="B28" s="3"/>
      <c r="C28" s="2"/>
    </row>
    <row r="29" spans="1:11">
      <c r="A29" s="1"/>
      <c r="B29" s="3"/>
      <c r="C29" s="2"/>
    </row>
    <row r="30" spans="1:11">
      <c r="A30" s="1"/>
      <c r="B30" s="3"/>
      <c r="C30" s="2"/>
    </row>
    <row r="31" spans="1:11">
      <c r="A31" s="1"/>
      <c r="B31" s="3"/>
      <c r="C31" s="2"/>
    </row>
    <row r="32" spans="1:11">
      <c r="A32" s="1"/>
      <c r="B32" s="3"/>
      <c r="C32" s="2"/>
    </row>
    <row r="33" spans="1:3">
      <c r="A33" s="1"/>
      <c r="B33" s="3"/>
      <c r="C33" s="2"/>
    </row>
    <row r="34" spans="1:3">
      <c r="A34" s="1"/>
      <c r="B34" s="3"/>
      <c r="C34" s="2"/>
    </row>
    <row r="35" spans="1:3">
      <c r="A35" s="1"/>
      <c r="B35" s="3"/>
      <c r="C35" s="2"/>
    </row>
    <row r="36" spans="1:3">
      <c r="A36" s="1"/>
      <c r="B36" s="3"/>
      <c r="C36" s="2"/>
    </row>
    <row r="37" spans="1:3">
      <c r="A37" s="1"/>
      <c r="B37" s="3"/>
      <c r="C37" s="2"/>
    </row>
    <row r="38" spans="1:3">
      <c r="A38" s="1"/>
      <c r="B38" s="3"/>
      <c r="C38" s="2"/>
    </row>
    <row r="39" spans="1:3">
      <c r="A39" s="1"/>
      <c r="B39" s="3"/>
      <c r="C39" s="2"/>
    </row>
    <row r="40" spans="1:3">
      <c r="A40" s="1"/>
      <c r="B40" s="3"/>
      <c r="C40" s="2"/>
    </row>
    <row r="41" spans="1:3">
      <c r="A41" s="1"/>
      <c r="B41" s="3"/>
      <c r="C41" s="2"/>
    </row>
    <row r="42" spans="1:3">
      <c r="A42" s="1"/>
      <c r="B42" s="3"/>
      <c r="C42" s="2"/>
    </row>
    <row r="43" spans="1:3">
      <c r="A43" s="1"/>
      <c r="B43" s="3"/>
      <c r="C43" s="2"/>
    </row>
    <row r="44" spans="1:3">
      <c r="A44" s="1"/>
      <c r="B44" s="3"/>
      <c r="C44" s="2"/>
    </row>
    <row r="45" spans="1:3">
      <c r="A45" s="1"/>
      <c r="B45" s="3"/>
      <c r="C45" s="2"/>
    </row>
    <row r="46" spans="1:3">
      <c r="A46" s="1"/>
      <c r="B46" s="3"/>
      <c r="C46" s="2"/>
    </row>
    <row r="47" spans="1:3">
      <c r="A47" s="1"/>
      <c r="B47" s="3"/>
      <c r="C47" s="2"/>
    </row>
    <row r="48" spans="1:3">
      <c r="A48" s="1"/>
      <c r="B48" s="3"/>
      <c r="C48" s="2"/>
    </row>
    <row r="49" spans="1:3">
      <c r="A49" s="1"/>
      <c r="B49" s="3"/>
      <c r="C49" s="2"/>
    </row>
    <row r="50" spans="1:3">
      <c r="A50" s="1"/>
      <c r="B50" s="3"/>
      <c r="C50" s="2"/>
    </row>
    <row r="51" spans="1:3">
      <c r="A51" s="1"/>
      <c r="B51" s="3"/>
      <c r="C51" s="2"/>
    </row>
    <row r="52" spans="1:3">
      <c r="A52" s="1"/>
      <c r="B52" s="3"/>
      <c r="C52" s="2"/>
    </row>
    <row r="53" spans="1:3">
      <c r="A53" s="1"/>
      <c r="B53" s="3"/>
      <c r="C53" s="2"/>
    </row>
    <row r="54" spans="1:3">
      <c r="A54" s="1"/>
      <c r="B54" s="3"/>
      <c r="C54" s="2"/>
    </row>
    <row r="55" spans="1:3">
      <c r="A55" s="1"/>
      <c r="B55" s="3"/>
      <c r="C55" s="2"/>
    </row>
    <row r="56" spans="1:3">
      <c r="A56" s="1"/>
      <c r="B56" s="3"/>
      <c r="C56" s="2"/>
    </row>
    <row r="57" spans="1:3">
      <c r="A57" s="1"/>
      <c r="B57" s="3"/>
      <c r="C57" s="2"/>
    </row>
    <row r="58" spans="1:3">
      <c r="A58" s="1"/>
      <c r="B58" s="3"/>
      <c r="C58" s="2"/>
    </row>
    <row r="59" spans="1:3">
      <c r="A59" s="1"/>
      <c r="B59" s="3"/>
      <c r="C59" s="2"/>
    </row>
    <row r="60" spans="1:3">
      <c r="A60" s="1"/>
      <c r="B60" s="3"/>
      <c r="C60" s="2"/>
    </row>
    <row r="61" spans="1:3">
      <c r="A61" s="1"/>
      <c r="B61" s="3"/>
      <c r="C61" s="2"/>
    </row>
    <row r="62" spans="1:3">
      <c r="A62" s="1"/>
      <c r="B62" s="3"/>
      <c r="C62" s="2"/>
    </row>
    <row r="63" spans="1:3">
      <c r="A63" s="1"/>
      <c r="B63" s="3"/>
      <c r="C63" s="2"/>
    </row>
    <row r="64" spans="1:3">
      <c r="A64" s="1"/>
      <c r="B64" s="3"/>
      <c r="C64" s="2"/>
    </row>
    <row r="65" spans="1:3">
      <c r="A65" s="1"/>
      <c r="B65" s="3"/>
      <c r="C65" s="2"/>
    </row>
    <row r="66" spans="1:3">
      <c r="A66" s="1"/>
      <c r="B66" s="3"/>
      <c r="C66" s="2"/>
    </row>
    <row r="67" spans="1:3">
      <c r="A67" s="1"/>
      <c r="B67" s="3"/>
      <c r="C67" s="2"/>
    </row>
    <row r="68" spans="1:3">
      <c r="A68" s="1"/>
      <c r="B68" s="3"/>
      <c r="C68" s="2"/>
    </row>
    <row r="69" spans="1:3">
      <c r="A69" s="1"/>
      <c r="B69" s="3"/>
      <c r="C69" s="2"/>
    </row>
    <row r="70" spans="1:3">
      <c r="A70" s="1"/>
      <c r="B70" s="3"/>
      <c r="C70" s="2"/>
    </row>
    <row r="71" spans="1:3">
      <c r="A71" s="1"/>
      <c r="B71" s="3"/>
      <c r="C71" s="2"/>
    </row>
    <row r="72" spans="1:3">
      <c r="A72" s="1"/>
      <c r="B72" s="3"/>
      <c r="C72" s="2"/>
    </row>
    <row r="73" spans="1:3">
      <c r="A73" s="1"/>
      <c r="B73" s="3"/>
      <c r="C73" s="2"/>
    </row>
    <row r="74" spans="1:3">
      <c r="A74" s="1"/>
      <c r="B74" s="3"/>
      <c r="C74" s="2"/>
    </row>
    <row r="75" spans="1:3">
      <c r="A75" s="1"/>
      <c r="B75" s="3"/>
      <c r="C75" s="2"/>
    </row>
    <row r="76" spans="1:3">
      <c r="A76" s="1"/>
      <c r="B76" s="3"/>
      <c r="C76" s="2"/>
    </row>
    <row r="77" spans="1:3">
      <c r="A77" s="1"/>
      <c r="B77" s="3"/>
      <c r="C77" s="2"/>
    </row>
    <row r="78" spans="1:3">
      <c r="A78" s="1"/>
      <c r="B78" s="3"/>
      <c r="C78" s="2"/>
    </row>
    <row r="79" spans="1:3">
      <c r="A79" s="1"/>
      <c r="B79" s="3"/>
      <c r="C79" s="2"/>
    </row>
    <row r="80" spans="1:3">
      <c r="A80" s="1"/>
      <c r="B80" s="3"/>
      <c r="C80" s="2"/>
    </row>
    <row r="81" spans="1:3">
      <c r="A81" s="1"/>
      <c r="B81" s="3"/>
      <c r="C81" s="2"/>
    </row>
    <row r="82" spans="1:3">
      <c r="A82" s="1"/>
      <c r="B82" s="3"/>
      <c r="C82" s="2"/>
    </row>
    <row r="83" spans="1:3">
      <c r="A83" s="1"/>
      <c r="B83" s="3"/>
      <c r="C83" s="2"/>
    </row>
    <row r="84" spans="1:3">
      <c r="A84" s="1"/>
      <c r="B84" s="3"/>
      <c r="C84" s="2"/>
    </row>
    <row r="85" spans="1:3">
      <c r="A85" s="1"/>
      <c r="B85" s="3"/>
      <c r="C85" s="2"/>
    </row>
    <row r="86" spans="1:3">
      <c r="A86" s="1"/>
      <c r="B86" s="3"/>
      <c r="C86" s="2"/>
    </row>
    <row r="87" spans="1:3">
      <c r="A87" s="1"/>
      <c r="B87" s="3"/>
      <c r="C87" s="2"/>
    </row>
    <row r="88" spans="1:3">
      <c r="A88" s="1"/>
      <c r="B88" s="3"/>
      <c r="C88" s="2"/>
    </row>
    <row r="89" spans="1:3">
      <c r="A89" s="1"/>
      <c r="B89" s="3"/>
      <c r="C89" s="2"/>
    </row>
    <row r="90" spans="1:3">
      <c r="A90" s="1"/>
      <c r="B90" s="3"/>
      <c r="C90" s="2"/>
    </row>
    <row r="91" spans="1:3">
      <c r="A91" s="1"/>
      <c r="B91" s="3"/>
      <c r="C91" s="2"/>
    </row>
    <row r="92" spans="1:3">
      <c r="A92" s="1"/>
      <c r="B92" s="3"/>
      <c r="C92" s="2"/>
    </row>
    <row r="93" spans="1:3">
      <c r="A93" s="1"/>
      <c r="B93" s="3"/>
      <c r="C93" s="2"/>
    </row>
    <row r="94" spans="1:3">
      <c r="A94" s="1"/>
      <c r="B94" s="3"/>
      <c r="C94" s="2"/>
    </row>
    <row r="95" spans="1:3">
      <c r="A95" s="1"/>
      <c r="B95" s="3"/>
      <c r="C95" s="2"/>
    </row>
    <row r="96" spans="1:3">
      <c r="A96" s="1"/>
      <c r="B96" s="3"/>
      <c r="C96" s="2"/>
    </row>
    <row r="97" spans="1:3">
      <c r="A97" s="1"/>
      <c r="B97" s="3"/>
      <c r="C97" s="2"/>
    </row>
    <row r="98" spans="1:3">
      <c r="A98" s="1"/>
      <c r="B98" s="3"/>
      <c r="C98" s="2"/>
    </row>
    <row r="99" spans="1:3">
      <c r="A99" s="1"/>
      <c r="B99" s="3"/>
      <c r="C99" s="2"/>
    </row>
    <row r="100" spans="1:3">
      <c r="A100" s="1"/>
      <c r="B100" s="3"/>
      <c r="C100" s="2"/>
    </row>
    <row r="101" spans="1:3">
      <c r="A101" s="1"/>
      <c r="B101" s="3"/>
      <c r="C101" s="2"/>
    </row>
    <row r="102" spans="1:3">
      <c r="A102" s="1"/>
      <c r="B102" s="3"/>
      <c r="C102" s="2"/>
    </row>
    <row r="103" spans="1:3">
      <c r="A103" s="1"/>
      <c r="B103" s="3"/>
      <c r="C103" s="2"/>
    </row>
    <row r="104" spans="1:3">
      <c r="A104" s="1"/>
      <c r="B104" s="3"/>
      <c r="C104" s="2"/>
    </row>
    <row r="105" spans="1:3">
      <c r="A105" s="1"/>
      <c r="B105" s="3"/>
      <c r="C105" s="2"/>
    </row>
    <row r="106" spans="1:3">
      <c r="A106" s="1"/>
      <c r="B106" s="3"/>
      <c r="C106" s="2"/>
    </row>
    <row r="107" spans="1:3">
      <c r="A107" s="1"/>
      <c r="B107" s="3"/>
      <c r="C107" s="2"/>
    </row>
    <row r="108" spans="1:3">
      <c r="A108" s="1"/>
      <c r="B108" s="3"/>
      <c r="C108" s="2"/>
    </row>
    <row r="109" spans="1:3">
      <c r="A109" s="1"/>
      <c r="B109" s="3"/>
      <c r="C109" s="2"/>
    </row>
    <row r="110" spans="1:3">
      <c r="A110" s="1"/>
      <c r="B110" s="3"/>
      <c r="C110" s="2"/>
    </row>
    <row r="111" spans="1:3">
      <c r="A111" s="1"/>
      <c r="B111" s="3"/>
      <c r="C111" s="2"/>
    </row>
    <row r="112" spans="1:3">
      <c r="A112" s="1"/>
      <c r="B112" s="3"/>
      <c r="C112" s="2"/>
    </row>
    <row r="113" spans="1:3">
      <c r="A113" s="1"/>
      <c r="B113" s="3"/>
      <c r="C113" s="2"/>
    </row>
    <row r="114" spans="1:3">
      <c r="A114" s="1"/>
      <c r="B114" s="3"/>
      <c r="C114" s="2"/>
    </row>
    <row r="115" spans="1:3">
      <c r="A115" s="1"/>
      <c r="B115" s="3"/>
      <c r="C115" s="2"/>
    </row>
    <row r="116" spans="1:3">
      <c r="A116" s="1"/>
      <c r="B116" s="3"/>
      <c r="C116" s="2"/>
    </row>
    <row r="117" spans="1:3">
      <c r="A117" s="1"/>
      <c r="B117" s="3"/>
      <c r="C117" s="2"/>
    </row>
  </sheetData>
  <sortState ref="A2:E110">
    <sortCondition descending="1" ref="C2:C110"/>
    <sortCondition ref="A2:A110"/>
  </sortState>
  <mergeCells count="5">
    <mergeCell ref="A4:B4"/>
    <mergeCell ref="E1:K1"/>
    <mergeCell ref="E2:K2"/>
    <mergeCell ref="A6:K6"/>
    <mergeCell ref="C17:K17"/>
  </mergeCells>
  <printOptions horizontalCentered="1"/>
  <pageMargins left="0.25" right="0.25" top="0.75" bottom="0.75" header="0.5" footer="0.5"/>
  <pageSetup paperSize="5" scale="95" orientation="landscape" horizontalDpi="300" verticalDpi="300" r:id="rId1"/>
  <headerFooter alignWithMargins="0">
    <oddHeader>&amp;L&amp;8Appendix C: Inventory Summary - NRC</oddHeader>
    <oddFooter>&amp;C&amp;8Page 2 of 2&amp;R&amp;8-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Type, Competition, Time</vt:lpstr>
      <vt:lpstr>Small Business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JXD22</cp:lastModifiedBy>
  <cp:lastPrinted>2012-12-04T13:54:01Z</cp:lastPrinted>
  <dcterms:created xsi:type="dcterms:W3CDTF">2010-11-24T14:49:02Z</dcterms:created>
  <dcterms:modified xsi:type="dcterms:W3CDTF">2012-12-04T13:54:20Z</dcterms:modified>
</cp:coreProperties>
</file>